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"/>
    </mc:Choice>
  </mc:AlternateContent>
  <bookViews>
    <workbookView xWindow="-120" yWindow="480" windowWidth="29040" windowHeight="15840"/>
  </bookViews>
  <sheets>
    <sheet name="Лист1" sheetId="1" r:id="rId1"/>
  </sheets>
  <definedNames>
    <definedName name="_xlnm.Print_Titles" localSheetId="0">Лист1!$6:$6</definedName>
  </definedNames>
  <calcPr calcId="152511"/>
</workbook>
</file>

<file path=xl/calcChain.xml><?xml version="1.0" encoding="utf-8"?>
<calcChain xmlns="http://schemas.openxmlformats.org/spreadsheetml/2006/main">
  <c r="E160" i="1" l="1"/>
  <c r="E39" i="1"/>
  <c r="E61" i="1" l="1"/>
  <c r="E9" i="1"/>
  <c r="E37" i="1"/>
  <c r="E235" i="1" l="1"/>
  <c r="E233" i="1"/>
  <c r="E231" i="1"/>
  <c r="E229" i="1"/>
  <c r="E227" i="1"/>
  <c r="E225" i="1"/>
  <c r="E223" i="1"/>
  <c r="E221" i="1"/>
  <c r="E217" i="1"/>
  <c r="E214" i="1"/>
  <c r="E211" i="1"/>
  <c r="E204" i="1"/>
  <c r="E200" i="1"/>
  <c r="E198" i="1"/>
  <c r="E196" i="1"/>
  <c r="E194" i="1"/>
  <c r="E192" i="1"/>
  <c r="E190" i="1"/>
  <c r="E186" i="1"/>
  <c r="E184" i="1"/>
  <c r="E182" i="1"/>
  <c r="E179" i="1"/>
  <c r="E176" i="1"/>
  <c r="E173" i="1"/>
  <c r="E154" i="1"/>
  <c r="E152" i="1"/>
  <c r="E150" i="1"/>
  <c r="E147" i="1"/>
  <c r="E145" i="1"/>
  <c r="E143" i="1"/>
  <c r="E140" i="1"/>
  <c r="E138" i="1"/>
  <c r="E136" i="1"/>
  <c r="E134" i="1"/>
  <c r="E132" i="1"/>
  <c r="E130" i="1"/>
  <c r="E128" i="1"/>
  <c r="E125" i="1"/>
  <c r="E123" i="1"/>
  <c r="E121" i="1"/>
  <c r="E119" i="1"/>
  <c r="E115" i="1"/>
  <c r="E112" i="1"/>
  <c r="E110" i="1"/>
  <c r="E107" i="1"/>
  <c r="E105" i="1"/>
  <c r="E102" i="1"/>
  <c r="E100" i="1"/>
  <c r="E98" i="1"/>
  <c r="E91" i="1"/>
  <c r="E85" i="1"/>
  <c r="E79" i="1"/>
  <c r="E73" i="1"/>
  <c r="E67" i="1"/>
  <c r="E54" i="1"/>
  <c r="E48" i="1"/>
  <c r="E26" i="1"/>
  <c r="E31" i="1"/>
  <c r="E20" i="1"/>
  <c r="E18" i="1"/>
  <c r="E207" i="1" l="1"/>
  <c r="E34" i="1"/>
  <c r="E169" i="1" l="1"/>
  <c r="E170" i="1"/>
  <c r="E171" i="1" l="1"/>
  <c r="E237" i="1" l="1"/>
  <c r="E240" i="1"/>
  <c r="E244" i="1" s="1"/>
  <c r="E249" i="1" s="1"/>
  <c r="E219" i="1" l="1"/>
  <c r="E188" i="1"/>
  <c r="E22" i="1"/>
  <c r="E28" i="1"/>
  <c r="E156" i="1" l="1"/>
  <c r="E247" i="1" s="1"/>
  <c r="E202" i="1"/>
  <c r="E238" i="1" s="1"/>
  <c r="E248" i="1" s="1"/>
  <c r="E246" i="1"/>
  <c r="E29" i="1"/>
  <c r="E250" i="1" l="1"/>
  <c r="E252" i="1" l="1"/>
</calcChain>
</file>

<file path=xl/comments1.xml><?xml version="1.0" encoding="utf-8"?>
<comments xmlns="http://schemas.openxmlformats.org/spreadsheetml/2006/main">
  <authors>
    <author>Алексей</author>
    <author>Сергей</author>
    <author>Alex Sosedko</author>
    <author>Alex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A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6" authorId="2" shape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E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<sst xmlns="http://schemas.openxmlformats.org/spreadsheetml/2006/main" count="598" uniqueCount="332">
  <si>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</si>
  <si>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</si>
  <si>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</si>
  <si>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</si>
  <si>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</si>
  <si>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 xml:space="preserve"> </t>
  </si>
  <si>
    <t>Ознакомление с предъявленной документацией и объектом в натуре;</t>
  </si>
  <si>
    <t xml:space="preserve"> 10%;</t>
  </si>
  <si>
    <t>Определение физического объема памятника (со схематическими обмерами, без выдачи чертежей);</t>
  </si>
  <si>
    <t xml:space="preserve"> 32%;</t>
  </si>
  <si>
    <t>Составление акта технического состояния и определение процента утрат его первоначального облика;</t>
  </si>
  <si>
    <t xml:space="preserve"> 20%;</t>
  </si>
  <si>
    <t>Предварительное инженерное обследование с выдачей заключения;</t>
  </si>
  <si>
    <t>Выдача заданий смежникам;</t>
  </si>
  <si>
    <t xml:space="preserve"> 8%;</t>
  </si>
  <si>
    <t>Составление тематического плана научно-проектных работ;</t>
  </si>
  <si>
    <t>Итого "Коэфф. относительной стоимости"</t>
  </si>
  <si>
    <t>Котн=100%</t>
  </si>
  <si>
    <t xml:space="preserve">
(СЦНПР_91-1-22-5) </t>
  </si>
  <si>
    <t xml:space="preserve">СБЦ "Инженерно-геодезические изыскания при строительстве и эксплуатации зданий и сооружений (2006)" табл.53 п.1-1
(СБЦ105-53-1-1) </t>
  </si>
  <si>
    <t>При проведении полевых работ без выплаты работникам полевого довольствия или командировочных;</t>
  </si>
  <si>
    <t>К1=0,85 ОУ п.14;</t>
  </si>
  <si>
    <t>Историко-архивные и библиографические исследования. Историческая записка.</t>
  </si>
  <si>
    <t>Составление библиографического списка и описи архивных дел;</t>
  </si>
  <si>
    <t>Выписки из архивных и библиографических источников, просмотр музейных и архивных фондов, гравюр, акварелей и т.д.;</t>
  </si>
  <si>
    <t xml:space="preserve"> 80%;</t>
  </si>
  <si>
    <t xml:space="preserve">Составление исторических записок, справок по памятникам, имеющим до 30% утрат первоначального облика, с простой историей строительства: на основе опубликованных материалов, 1(печатный лист) </t>
  </si>
  <si>
    <t xml:space="preserve">
(СЦНПР_91-1-5-1-А) </t>
  </si>
  <si>
    <t>Обследование и замеры конструкций и их деформаций (без выпуска обмерных чертежей);</t>
  </si>
  <si>
    <t xml:space="preserve"> 30%;</t>
  </si>
  <si>
    <t>Определение и фиксация мест отбора проб;</t>
  </si>
  <si>
    <t xml:space="preserve"> 6%;</t>
  </si>
  <si>
    <t>Определение статической схемы памятника и производство статических расчетов;</t>
  </si>
  <si>
    <t xml:space="preserve"> 11%;</t>
  </si>
  <si>
    <t>Изучение и привязка геологических и топографических условий района памятника;</t>
  </si>
  <si>
    <t>Обработка результатов обследования с выдачей заключения о техническом состоянии памятника;</t>
  </si>
  <si>
    <t xml:space="preserve"> 45%;</t>
  </si>
  <si>
    <t>Отбор образцов</t>
  </si>
  <si>
    <t>Натурное исследование состояния материалов (полевые работы);</t>
  </si>
  <si>
    <t xml:space="preserve"> 15%;</t>
  </si>
  <si>
    <t>Составление заключения о состоянии материалов памятника;</t>
  </si>
  <si>
    <t xml:space="preserve"> 40%;</t>
  </si>
  <si>
    <t>Изучение документации по памятнику (сведения по истории строительства, о строительных материалах, конструкциях);</t>
  </si>
  <si>
    <t xml:space="preserve"> 50%;</t>
  </si>
  <si>
    <t>Изучение документации по памятнику (сведения по истории строительства, о строительных материалах);</t>
  </si>
  <si>
    <t xml:space="preserve">Разработка технологической схемы реставрационных работ на памятнике, 3(схема) </t>
  </si>
  <si>
    <t xml:space="preserve">
(СЦНПР_91-7-18-1-А) </t>
  </si>
  <si>
    <t xml:space="preserve">
(СЦНПР_91-7-18-1-Б) 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</si>
  <si>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2(п/п) </t>
  </si>
  <si>
    <t xml:space="preserve">
(СЦНПР_91-1-22-4) </t>
  </si>
  <si>
    <t>Кусл-Выполнение работ в зданиях и сооружениях, являющихся памятником архитектуры или культурного наследия;</t>
  </si>
  <si>
    <t>К1=1,25 Таб.11 п.2;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</si>
  <si>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0,25(п/лист текст. материала) </t>
  </si>
  <si>
    <t xml:space="preserve">
(СЦНПР_91-1-22-1) </t>
  </si>
  <si>
    <t>Архитектурно-строительные  чертежи</t>
  </si>
  <si>
    <t xml:space="preserve">
(СЦНПР_91-1-16-2-Б) </t>
  </si>
  <si>
    <t xml:space="preserve">Разработка рабочих чертежей общего вида конструкций, масштаб 1:50: категория сложности II, 2(лист) </t>
  </si>
  <si>
    <t xml:space="preserve">
(СЦНПР_91-1-19-1-Б) </t>
  </si>
  <si>
    <t>При частичной замене старых конструкций, реставрации, усилении или укреплении остальных ее элементов, связанных с решением вопроса сохранения или укрепления элементов архитектурной отделки фасадов или интерьера;</t>
  </si>
  <si>
    <t>К2=1,3 Прим.1;</t>
  </si>
  <si>
    <t xml:space="preserve">Пояснительная записка 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0,4(п/п) </t>
  </si>
  <si>
    <t xml:space="preserve">Пояснительная записка Научно-реставрационный отчет: I категория - памятники истории и культуры XIX - XX вв. с утратой первоначального облика до 50%, 1(п/лист текст. материала) </t>
  </si>
  <si>
    <t xml:space="preserve">Составление ведомости объемов реставрационных работ с составлением календарного графика производства работ, 1(ведомость с графиком) </t>
  </si>
  <si>
    <t xml:space="preserve">
(СЦНПР_91-1-20-1) </t>
  </si>
  <si>
    <t xml:space="preserve">Составление ведомости потребности в материальных ресурсах с построением графика потребности в материалах и полуфабрикатах по срокам производства реставрационных работ, 1(ведомость с графиком) </t>
  </si>
  <si>
    <t xml:space="preserve">
(СЦНПР_91-1-20-3) </t>
  </si>
  <si>
    <t xml:space="preserve">Составление ведомости потребности в трудовых ресурсах с составлением графика движения рабочей силы, 1(ведомость с графиком) </t>
  </si>
  <si>
    <t xml:space="preserve">
(СЦНПР_91-1-20-2) </t>
  </si>
  <si>
    <t xml:space="preserve">Составление описи работ (ведомости объемов работ) при наличии по объектам проектно-технической документации: реставрационные, ремонтно-реставрационные, консервационные работы, 12(10 позиций описи) </t>
  </si>
  <si>
    <t xml:space="preserve">
(СЦНПР_91-3-3-2-А) </t>
  </si>
  <si>
    <t xml:space="preserve">
(СЦНПР_91-3-3-2-Б) </t>
  </si>
  <si>
    <t xml:space="preserve">Составление смет на реставрационно-восстановительные, реставрационные, консервационные работы , 12(10 позиций сметы) </t>
  </si>
  <si>
    <t xml:space="preserve">
(СЦНПР_91-3-4-1) </t>
  </si>
  <si>
    <t xml:space="preserve">Составление смет на санитарно-технические и специальные работы, 3(10 позиций сметы) </t>
  </si>
  <si>
    <t xml:space="preserve">
(СЦНПР_91-3-4-2) </t>
  </si>
  <si>
    <t xml:space="preserve">Составление выборки ресурсов, выборка ресурсов из сметы трудовых затрат, материалов, машино-смен с подсчетами, проверка ресурсов и арифметических подсчетов по ней; составление ведомости выборки материалов, 92(позиция сметы) </t>
  </si>
  <si>
    <t xml:space="preserve">
(СЦНПР_91-3-7-1) </t>
  </si>
  <si>
    <t xml:space="preserve">Составление калькуляций стоимости строительных материалов, изделий с учетом отпускных цен транспортных расходов, наценок снабженческой, сбытовых организаций и заготовительно-складских расходов, 30(одно наименование материала, изделия) </t>
  </si>
  <si>
    <t xml:space="preserve">
(СЦНПР_91-3-7-4) </t>
  </si>
  <si>
    <t xml:space="preserve">Сводные сметные расчеты Составление смет на реставрационно-восстановительные, реставрационные, консервационные работы, 1,2(10 позиций сметы) </t>
  </si>
  <si>
    <t xml:space="preserve">Составление пояснительной записки к смете, 2(1 стр. машинописного текста через 1,5 интервала) </t>
  </si>
  <si>
    <t xml:space="preserve">
(СЦНПР_91-3-7-3) </t>
  </si>
  <si>
    <t>Рабочая документация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</si>
  <si>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памятнику, 1(п/п) </t>
  </si>
  <si>
    <t>Инженерно-конструкторские рабочие чертежи.</t>
  </si>
  <si>
    <t xml:space="preserve">
(СЦНПР_91-1-19-2-Б) </t>
  </si>
  <si>
    <t>Итоги по смете:</t>
  </si>
  <si>
    <t xml:space="preserve">   Итого</t>
  </si>
  <si>
    <t xml:space="preserve">   НДС не облагается  Обоснование: пп 15 п.2 ст.149 ч.II Налогового кодекса РФ </t>
  </si>
  <si>
    <t xml:space="preserve">   ВСЕГО по смете</t>
  </si>
  <si>
    <t>Начальник проектно-сметного отдела      ________________________   Клосинский С.А.</t>
  </si>
  <si>
    <t xml:space="preserve">
(СЦНПР_91-8-5-2-А) </t>
  </si>
  <si>
    <t xml:space="preserve">
(СЦНПР_91-1-4-1-В) </t>
  </si>
  <si>
    <t xml:space="preserve">Историко-архивные и библиографические изыскания. Памятники с простой историей строительства, имеющие небольшие переделки: время постройки после XVIII в, 1(памятник) </t>
  </si>
  <si>
    <t xml:space="preserve">
(СЦНПР_91-1-21-1) </t>
  </si>
  <si>
    <t>Генеральный план организации реставрации (I категории сложности). Ед. изм. основного показателя (количества) - памятник</t>
  </si>
  <si>
    <t>Альбом фотоиллюстраций с подбором наклейкой, компоновкой и составлением кратких аннотаций, включающих в себя до 20 фотографий. Ед. изм. основного показателя (количества) - альбом до 5 экз.</t>
  </si>
  <si>
    <t>Раздел 1. Предварительные работы.</t>
  </si>
  <si>
    <t>Предварительное ознакомление с литературными и графическими материалами и выдачей краткой справки. Ед. изм. основного показателя (количества) - памятник</t>
  </si>
  <si>
    <t xml:space="preserve">
(СЦНПР_91-1-2-1-А) </t>
  </si>
  <si>
    <t xml:space="preserve">   Итого по разделу 1 Предварительные работы.</t>
  </si>
  <si>
    <t>Натурные обследования. Архитектурные обмеры памятника в целом.</t>
  </si>
  <si>
    <t>Раздел 3.  Проектные работы</t>
  </si>
  <si>
    <t>Раздел 2. Комплексные научные исследования</t>
  </si>
  <si>
    <t xml:space="preserve">Архитектурные решения. </t>
  </si>
  <si>
    <t>Проект организации реставрации</t>
  </si>
  <si>
    <t>Сметная документация</t>
  </si>
  <si>
    <t xml:space="preserve">   Итого: Сметная документация</t>
  </si>
  <si>
    <t xml:space="preserve">   Итого: Проект организации реставрации</t>
  </si>
  <si>
    <t xml:space="preserve">   Итого: Проектная  документация Реставрация</t>
  </si>
  <si>
    <t xml:space="preserve">   Итого по разделу 2 Комплексные научные исследования.</t>
  </si>
  <si>
    <t xml:space="preserve">   Итоги по разделу 1 Предварительные работы.</t>
  </si>
  <si>
    <t xml:space="preserve">   Итоги по разделу 2 Комплексные научные исследования</t>
  </si>
  <si>
    <t xml:space="preserve">   Итоги по разделу 3 Проектные работы</t>
  </si>
  <si>
    <t>Итого: Рабочая документация</t>
  </si>
  <si>
    <t>Раздел 4.  Историко-культурная экспертиза</t>
  </si>
  <si>
    <t xml:space="preserve">   Итоги по разделу 4 Историко-культурная экспертиза</t>
  </si>
  <si>
    <t xml:space="preserve">Письмо Министерства культуры Российской Федерации от 13.10.1998 г. № 01-211/16-14 "Об определении стоимости научно-проектных работ на памятниках истории культуры":
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документации. Ед. изм. - 1 объект
</t>
  </si>
  <si>
    <t xml:space="preserve">Письмо Министерства культуры Российской Федерации от 20.12.2011 г. " 107-01-39/10-КЧ; Постановление Правительства Российской Федерации от 15.07.2009 г. №569 (в ред. Постановления Правительства РФ от 03.12.2022 № 2220);
Коб1=4; Кц1=30; Кц2=4
</t>
  </si>
  <si>
    <t>Коб1=4.</t>
  </si>
  <si>
    <t>Письмо Министерства культуры Российской Федерации от 20.12.2011 г. " 107-01-39/10-КЧ.</t>
  </si>
  <si>
    <t>Количество дней проведения государственной экспертизы проектной документации в соответствии с требованиями Градостроительного кодекса Российской Федерации.</t>
  </si>
  <si>
    <t xml:space="preserve">Кц1=30. </t>
  </si>
  <si>
    <t>Постановление Правительства Российской Федерации от 15.07.2009 г. №569 (в ред. Постановления Правительства РФ от 03.12.2022 № 2220). Количество экспертов.</t>
  </si>
  <si>
    <t xml:space="preserve">Кц2=4. </t>
  </si>
  <si>
    <t>Ц=1*(540)*4*30*4
(A*X)*Коб1*Кц1*Кц2</t>
  </si>
  <si>
    <t xml:space="preserve">   Итого по разделу 4 Историко-культурная экспертиза</t>
  </si>
  <si>
    <t xml:space="preserve">   Итого по разделу 3 Проектные работы</t>
  </si>
  <si>
    <t xml:space="preserve">
(СЦНПР_91-1-19-2-А) </t>
  </si>
  <si>
    <t xml:space="preserve">Разработка рабочих чертежей узлов и деталей конструкций, масштаб 1:10 - 1:1: категория сложности I, 5(лист) </t>
  </si>
  <si>
    <t>Отдельно архитектурные детали (масштаб 1:10; 1:5; 1:1), II категории сложности. Ед. изм. основного показателя (количества) - лист</t>
  </si>
  <si>
    <t xml:space="preserve">
(СЦНПР-91-1-16-4-б) </t>
  </si>
  <si>
    <t xml:space="preserve">Рабочие чертежи изделий (разрезы) масштаб 1:10, II категории сложности. Ед. изм. основного показателя (количества) - лист </t>
  </si>
  <si>
    <t xml:space="preserve">
(СЦНПР_91-1-17-1-б) </t>
  </si>
  <si>
    <t>Обмерные работы</t>
  </si>
  <si>
    <t xml:space="preserve">
(СЦНПР-91-1-9-1-а) </t>
  </si>
  <si>
    <t>СЦНПР р.1 гл.2 п.14.а. Полевые работы: обмер памятника в натуре с зарисовкой обмерных схем (кроки), с постановкой на них размеров, нулевки и т.д.</t>
  </si>
  <si>
    <t>СЦНПР р.1 гл.2 п.14.б. Камеральная обработка: составление обмерных чертежей на ватмане по обмерным схемам в заданном масштабе с нанесением надписей, размеров и пр.</t>
  </si>
  <si>
    <t>Квр1=0,42</t>
  </si>
  <si>
    <t>СЦНПР р.1 гл.2 п.9. При производстве архитектурных обмеров.</t>
  </si>
  <si>
    <t>Кц1=0,6</t>
  </si>
  <si>
    <t>СЦНПР р.1 гл.2 п.11 т.1-6. Обмеры памятников в подвалах, затемненных помещениях и на чердаках.</t>
  </si>
  <si>
    <t>Кц2=1,2</t>
  </si>
  <si>
    <t>Квр2=0,5</t>
  </si>
  <si>
    <t xml:space="preserve">
(СЦНПР-91-1-9-3-а) </t>
  </si>
  <si>
    <t xml:space="preserve">СБЦ "Инженерно-геодезические изыскания при строительстве и эксплуатации зданий и сооружений (2006)" табл.54 п.1-1
(СБЦ105-54-1-1) </t>
  </si>
  <si>
    <t xml:space="preserve">Разработка технологического этапа (операции) с подбором материала, состава, метода реставрации памятника, категория сложности I (крыша), 3(этап (операция)) </t>
  </si>
  <si>
    <t>СМЕТА</t>
  </si>
  <si>
    <t>на проектные (изыскательские) работы</t>
  </si>
  <si>
    <t xml:space="preserve">Цветное фото. Размер негатива, отпечатка до 13х18 см, съемка (негатив, слайд), 15(негатив, слайд) </t>
  </si>
  <si>
    <t xml:space="preserve">Наземная стереофототопографическая съемка фасада здания, сооружения: категория сложности 1, 5(1 базис фотографирования) </t>
  </si>
  <si>
    <t>Инженерное обследование (фасад)</t>
  </si>
  <si>
    <t>Таб.12 п.8 4,00%;</t>
  </si>
  <si>
    <t>п.2. Ремонт, усиление, частичная замена  стен и перегородок  -14%</t>
  </si>
  <si>
    <t>п.1 - Ремонт фасада;Коб=4,0 %</t>
  </si>
  <si>
    <t xml:space="preserve">п.3. Ремонт и усиление лестниц, площадок, крылец - 2%   </t>
  </si>
  <si>
    <t xml:space="preserve">СБЦП "Нормативы подготовки тех.документации для капремонта зданий и сооружений жил.-гражд. назначения (2012)"  ПОС Таблица 12 п.18-4%   </t>
  </si>
  <si>
    <t xml:space="preserve">СБЦП "Нормативы подготовки тех.документации для капремонта зданий и сооружений жил.-гражд. назначения (2012)" Сметная документация  Таблица 12 п. 19 -5% </t>
  </si>
  <si>
    <t>Таб.12 п.2 14,00%;</t>
  </si>
  <si>
    <t>Таб.12 п.3 2,00%;</t>
  </si>
  <si>
    <t>п.4 Ремонт (замена) окон  - 5,0%</t>
  </si>
  <si>
    <t>п.5. Ремонт (замена) дверей  - 3,5%</t>
  </si>
  <si>
    <t>Таб.12 п.9 5,00%;</t>
  </si>
  <si>
    <t>Таб.12 п.10 3,50%;</t>
  </si>
  <si>
    <t>Котн=28,5 %</t>
  </si>
  <si>
    <t>Проектная  документаци: Ремонтные работы</t>
  </si>
  <si>
    <t>Проектная  документация: Реставрация</t>
  </si>
  <si>
    <t xml:space="preserve">
(СЦНПР_91-1-13-6-А) </t>
  </si>
  <si>
    <t xml:space="preserve">Комплексная разработка эскизного проекта реставрации, объем памятника до 5,0 тыс.м3: категория сложности I, 1(памятник) </t>
  </si>
  <si>
    <t>Архитектурные решения. Фасад</t>
  </si>
  <si>
    <t xml:space="preserve">Разработка рабочих чертежей узлов и деталей конструкций, масштаб 1:10 - 1:1: категория сложности II М1:20, 10(лист) </t>
  </si>
  <si>
    <t>Фасад</t>
  </si>
  <si>
    <t xml:space="preserve">Разработка рабочих чертежей: масштаб 1:25, 1:20: категория сложности II М1:100: 3 (лист) </t>
  </si>
  <si>
    <t xml:space="preserve">Разработка рабочих чертежей: масштаб 1:25, 1:20: категория сложности II М1:100 10 (лист) </t>
  </si>
  <si>
    <t xml:space="preserve">Составление описи работ (ведомости объемов работ) при наличии по объектам проектно-технической документации: санитарно-технические и специальные работы, 12(10 позиций описи) </t>
  </si>
  <si>
    <t>Обмер конструкций памятника I категории сложности (масштаб чертежа 1:50). Разрезы. Ед. изм. основного показателя (количества) - лист</t>
  </si>
  <si>
    <t>Обмер конструкций памятника I категории сложности (масштаб чертежа 1:10). Узлы. Ед. изм. основного показателя (количества) - лист</t>
  </si>
  <si>
    <t>Обследование памятника</t>
  </si>
  <si>
    <t>Разработка технологий реставрации</t>
  </si>
  <si>
    <t>Предварительное натурное обследование состояния памятника;</t>
  </si>
  <si>
    <t>Состояние программы работ и сметы-калькуляции;</t>
  </si>
  <si>
    <t xml:space="preserve"> 70%;</t>
  </si>
  <si>
    <t>Натурное обследование состояния  архитектурно-конструктивных элементов памятника</t>
  </si>
  <si>
    <t xml:space="preserve">Исследование состояния архитектурно-конструктивных и декоративных элементов памятника, площадь лицевой поверхности 1000 м2: кладка смешанная, категория сложности II, 1(памятник) </t>
  </si>
  <si>
    <t xml:space="preserve">
(СЦНПР_91-7-3-4-Д) </t>
  </si>
  <si>
    <t>Изучение документации по памятнику (сведения о строительных материалах);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</si>
  <si>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 м2: категория сложности II, 1(памятник) </t>
  </si>
  <si>
    <t xml:space="preserve">
(СЦНПР_91-7-5-1-Б) </t>
  </si>
  <si>
    <t xml:space="preserve">Исследование состояния отдельных архитектурно-конструктивных и декоративных элементов памятника, площадь исследуемой конструкции, элемента до 50 м2: категория сложности III, 1(памятник) </t>
  </si>
  <si>
    <t xml:space="preserve">
(СЦНПР_91-7-5-1-В) </t>
  </si>
  <si>
    <t xml:space="preserve">Исследование состояния материалов отделки памятников. Площадь исследуемой поверхности 200 м2: покраска фасадов и интерьеров, категория сложности I, 1(памятник) </t>
  </si>
  <si>
    <t xml:space="preserve">
(СЦНПР_91-7-8-1-Г) </t>
  </si>
  <si>
    <t>Изучение документации по памятнику (сведения об истории строительства отделочных материалах);</t>
  </si>
  <si>
    <t>Составление заключения о состоянии материалов;</t>
  </si>
  <si>
    <t xml:space="preserve">Исследование состояния архитектурно-конструктивных и декоративных элементов памятника из металла, площадь исследуемой конструкции, элемента до 10 м2: категория сложности I, 1(памятник) </t>
  </si>
  <si>
    <t xml:space="preserve">
(СЦНПР_91-7-6-1-А) </t>
  </si>
  <si>
    <t xml:space="preserve">Зондаж размером до 1м2: снятие штукатурного слоя при зондаже (конструкции стен), 15(зонд) </t>
  </si>
  <si>
    <t xml:space="preserve">
(СЦНПР_91-1-10-1-А) </t>
  </si>
  <si>
    <t xml:space="preserve">Зондаж, размер до 1м2, глубина до 0,3 м, 10(зонд) </t>
  </si>
  <si>
    <t xml:space="preserve">
(СЦНПР_91-1-10-1-Б) </t>
  </si>
  <si>
    <t xml:space="preserve">Разработка схем с показом шурфов, зондажей и фотофиксации, 12(форматка) </t>
  </si>
  <si>
    <t xml:space="preserve">
(СЦНПР_91-1-11-3) </t>
  </si>
  <si>
    <t xml:space="preserve">Отбор образцов монолита кладки из естественного камня и кирпича, штукатурки площадью до (30х30) см2: толщина монолита до 5,0 см(штукат+кирпич), 6(образец) </t>
  </si>
  <si>
    <t xml:space="preserve">
(СЦНПР_91-7-11-1-А) </t>
  </si>
  <si>
    <t xml:space="preserve">Отбор образцов монолита кладки из естественного камня и кирпича, штукатурки площадью до (30х30) см2: толщина монолита до 15,0 см, 6(образец) </t>
  </si>
  <si>
    <t xml:space="preserve">
(СЦНПР_91-7-11-1-Б) </t>
  </si>
  <si>
    <t>При отборе образцов, проб в местах заложения зондажей ;</t>
  </si>
  <si>
    <t>К1=0,7 Прим.2;</t>
  </si>
  <si>
    <t xml:space="preserve">Отбор образцов древесины с размером образца до (15х15х15) см3 и образцов металла, с открытых конструкций ( поверхностей), 4(образец) </t>
  </si>
  <si>
    <t xml:space="preserve">
(СЦНПР_91-7-12-1-А) </t>
  </si>
  <si>
    <t xml:space="preserve">Отбор образцов древесины с размером образца до (15х15х15) см3 и образцов металла, со скрытых конструкций ( поверхностей), 4(образец) </t>
  </si>
  <si>
    <t xml:space="preserve">
(СЦНПР_91-7-12-1-Б) </t>
  </si>
  <si>
    <t xml:space="preserve">Отбор проб красочного слоя, грунта, лавкаса, лаковых слоев, декоративных металлических покрытий и проб микологических и микробиологических поражений на памятнике, 5(1 проба) </t>
  </si>
  <si>
    <t xml:space="preserve">
(СЦНПР_91-7-12-2) </t>
  </si>
  <si>
    <t>Лабораторные анализы, исследования, испытания материалов</t>
  </si>
  <si>
    <t>Количественный химический анализ строительных материалов (камень, кирпич, растворы и т.п.)</t>
  </si>
  <si>
    <t xml:space="preserve">Подготовка проб (образцов) к исследованию с изготовлением образцов неправильной формы, твердые материалы, 6(образец, проба) </t>
  </si>
  <si>
    <t xml:space="preserve">
(СЦНПР_91-7-13-2-Б) </t>
  </si>
  <si>
    <t xml:space="preserve">Определение влажности, 6(образец, проба) </t>
  </si>
  <si>
    <t xml:space="preserve">
(СЦНПР_91-7-13-3) </t>
  </si>
  <si>
    <t xml:space="preserve">Комплексный химический анализ, 3(образец, проба) </t>
  </si>
  <si>
    <t xml:space="preserve">
(СЦНПР_91-7-13-13) </t>
  </si>
  <si>
    <t xml:space="preserve">Комплексный количественный анализ, 3(образец, проба) </t>
  </si>
  <si>
    <t xml:space="preserve">
(СЦНПР_91-7-13-24) </t>
  </si>
  <si>
    <t>Качественный анализ декоративно-отделочных материалов (комплексные анализы и отдельные определения)</t>
  </si>
  <si>
    <t xml:space="preserve">Подготовка пробы к исследованиям, 6(проба) </t>
  </si>
  <si>
    <t xml:space="preserve">
(СЦНПР_91-7-14-1) </t>
  </si>
  <si>
    <t xml:space="preserve">Предварительное исследование пробы с подготовкой постоянного препарата и микроскопическим исследованием пробы, до 5-ти пигментов, 3(проба) </t>
  </si>
  <si>
    <t xml:space="preserve">
(СЦНПР_91-7-14-3-Б) </t>
  </si>
  <si>
    <t xml:space="preserve">Стратиграфический анализ пробы с подготовкой к исследованию, до 5-ти слоев в пробе, 3(проба) </t>
  </si>
  <si>
    <t xml:space="preserve">
(СЦНПР_91-7-14-5-Б) </t>
  </si>
  <si>
    <t xml:space="preserve">Комплексный анализ пигментов, более 5-ти пигментов в пробе, I категория сложности, 3(пигмент) </t>
  </si>
  <si>
    <t xml:space="preserve">
(СЦНПР_91-7-14-9-А) </t>
  </si>
  <si>
    <t xml:space="preserve">Приготовление аншлифа, 3(аншлиф) </t>
  </si>
  <si>
    <t xml:space="preserve">
(СЦНПР_91-7-14-23) </t>
  </si>
  <si>
    <t xml:space="preserve">Качественный анализ штукатурных и кладочных растворов, содержащих до 3-х компонентов, 3(аншлиф) </t>
  </si>
  <si>
    <t xml:space="preserve">
(СЦНПР_91-7-14-24-А) </t>
  </si>
  <si>
    <t xml:space="preserve">Определение групп связующих с помощью активных красителей (белков, липидов) , 3(проба) </t>
  </si>
  <si>
    <t xml:space="preserve">
(СЦНПР_91-7-14-16) </t>
  </si>
  <si>
    <t>Физико-механические испытания строительных материалов</t>
  </si>
  <si>
    <t xml:space="preserve">Подготовка проб стоительных материалов к физико-механическим испытаниям, 3(проба) </t>
  </si>
  <si>
    <t xml:space="preserve">
(СЦНПР_91-7-17-1) </t>
  </si>
  <si>
    <t xml:space="preserve">Изготовление кубиков из материалов средней твердости, 3(кубик) </t>
  </si>
  <si>
    <t xml:space="preserve">
(СЦНПР_91-7-17-3) </t>
  </si>
  <si>
    <t xml:space="preserve">Комплекс определений физико-механических свойств прочности коэффициента размягчения твердых материалов, 3(проба) </t>
  </si>
  <si>
    <t xml:space="preserve">
(СЦНПР_91-7-17-28-А) </t>
  </si>
  <si>
    <t>Зондажи</t>
  </si>
  <si>
    <t>Кинф=74,38</t>
  </si>
  <si>
    <t>2 кв 2025 (ИЗ), Письмо Минстроя России от 21.04.2025 г. №23229-ИФ/09 прил.5;</t>
  </si>
  <si>
    <t>Кинф=6,54</t>
  </si>
  <si>
    <t>(560*1)
(A*X)*Кинф</t>
  </si>
  <si>
    <t>(380*1)
(A*X)*Кинф</t>
  </si>
  <si>
    <t>(1144*5)*0,85
(A*X)*К1*Кинф</t>
  </si>
  <si>
    <t>(95*20)*(0,42+0,5)*74,38*0,6*1,2
(A*X)8(Квр+Квр2)*Кинф*Кц1*Кц2</t>
  </si>
  <si>
    <t>(590*1)
(A*X)*Кинф</t>
  </si>
  <si>
    <t>(240*1)
(A*X)*Кинф</t>
  </si>
  <si>
    <t>(350*1)
(A*X)*Кинф</t>
  </si>
  <si>
    <t>(150*1)
(A*X)*Кинф</t>
  </si>
  <si>
    <t>(50*1)
(A*X)*Кинф</t>
  </si>
  <si>
    <t>(15*15)
(A*X)*Кинф</t>
  </si>
  <si>
    <t>(21*10)
(A*X)*Кинф</t>
  </si>
  <si>
    <t>(15*12)
(A*X)*Кинф</t>
  </si>
  <si>
    <t>(10*6)
(A*X)*Кинф</t>
  </si>
  <si>
    <t>(14*6)*0,7
(A*X)*К1*Кинф</t>
  </si>
  <si>
    <t>(3*4)
(A*X)*Кинф</t>
  </si>
  <si>
    <t>(8*4)*0,7
(A*X)*К1*Кинф</t>
  </si>
  <si>
    <t>(4*5)
(A*X)*Кинф</t>
  </si>
  <si>
    <t>(9*6)
(A*X)*Кинф</t>
  </si>
  <si>
    <t>(8*6)
(A*X)*Кинф</t>
  </si>
  <si>
    <t>(160*3)
(A*X)*Кинф</t>
  </si>
  <si>
    <t>(127*3)
(A*X)*Кинф</t>
  </si>
  <si>
    <t>(12*6)
(A*X)*Кинф</t>
  </si>
  <si>
    <t>(17*3)
(A*X)*Кинф</t>
  </si>
  <si>
    <t>(18*3)
(A*X)*Кинф</t>
  </si>
  <si>
    <t>(49*3)
(A*X)*Кинф</t>
  </si>
  <si>
    <t>(5*3)
(A*X)*Кинф</t>
  </si>
  <si>
    <t>(29*3)
(A*X)*Кинф</t>
  </si>
  <si>
    <t>(11*3)
(A*X)*Кинф</t>
  </si>
  <si>
    <t>(4*3)
(A*X)*Кинф</t>
  </si>
  <si>
    <t>(13*3)
(A*X)*Кинф</t>
  </si>
  <si>
    <t>(235*3)
(A*X)*Кинф</t>
  </si>
  <si>
    <t>(600*2)
(A*X)*Кинф</t>
  </si>
  <si>
    <t>(185*3)
(A*X)*Кинф</t>
  </si>
  <si>
    <t>(110*3)
(A*X)*Кинф</t>
  </si>
  <si>
    <t>(600*0,4)
(A*X)*Кинф</t>
  </si>
  <si>
    <t>(200*12)
(A*X)*К2*Кинф</t>
  </si>
  <si>
    <t>(210*2)
(A*X)*К2*Кинф</t>
  </si>
  <si>
    <t>10*(145)
(A*X)*К1*Кинф</t>
  </si>
  <si>
    <t>(1270*1)
(A*X)*Кинф</t>
  </si>
  <si>
    <t>(580*4)
(A*X)*Кинф</t>
  </si>
  <si>
    <t>(480*1)
(A*X)*Кинф</t>
  </si>
  <si>
    <t>(276*1)
(A*X)*Кинф</t>
  </si>
  <si>
    <t>(168*1)
(A*X)*Кинф</t>
  </si>
  <si>
    <t>(199*1)
(A*X)*Кинф</t>
  </si>
  <si>
    <t>(78*1)
(A*X)*Кинф</t>
  </si>
  <si>
    <t>(600*1)
(A*X)*Кинф</t>
  </si>
  <si>
    <t>(145*10)
(A*X)*К1*Кинф</t>
  </si>
  <si>
    <t>(130*10)*1,3
(A*X)*К1*К2*Кинф</t>
  </si>
  <si>
    <t>(80*5)*1,3
(A*X)*К2*Кинф</t>
  </si>
  <si>
    <t>(200*10)
(A*X)*К2*Кинф</t>
  </si>
  <si>
    <t>(26,3*12)
(A*X)*Кинф</t>
  </si>
  <si>
    <t>(20,05*12)
(A*X)*Кинф</t>
  </si>
  <si>
    <t>(17,6*12)
(A*X)*Кинф</t>
  </si>
  <si>
    <t>(1,7*92)
(A*X)*Кинф</t>
  </si>
  <si>
    <t>(1,1*30)
(A*X)*Кинф</t>
  </si>
  <si>
    <t>(17,6*1,2)
(A*X)*Кинф</t>
  </si>
  <si>
    <t>(4,5*2)
(A*X)*Кинф</t>
  </si>
  <si>
    <t>(10,6*3)
(A*X)*Кинф</t>
  </si>
  <si>
    <t>(580*0,25)
(A*X)*Кинф</t>
  </si>
  <si>
    <t>3 кв 2025 (ИЗ), Письмо Минстроя России от 16.07.2025 г. №41280ИФ/09 прил.3</t>
  </si>
  <si>
    <t>Кинф=76,24</t>
  </si>
  <si>
    <t>(220*1)*76,24
(A*X)*Кинф</t>
  </si>
  <si>
    <t>(11,3*15)*76,24
(A*X)*Кинф</t>
  </si>
  <si>
    <t>(137*12)*(0,42+0,5)*76,24*0,6*1,2
(A*X)8(Квр+Квр2)*Кинф*Кц1*Кц2</t>
  </si>
  <si>
    <t>Кинф=6,7</t>
  </si>
  <si>
    <t xml:space="preserve">Составление обмерных чертежей фасада (интерьера) здания стереофотограмметрическим методом, поверхности сооружения в масштабах 1:100: категория сложности 1; 2047,4 (1 м2 фасада (поверхности объекта)) </t>
  </si>
  <si>
    <t>(60*2047,4)
(A*X)*Кинф</t>
  </si>
  <si>
    <t xml:space="preserve">
(СЦНПР_91-1-1-1-Д) </t>
  </si>
  <si>
    <t>(1000)
(A*X)*К1*Кинф</t>
  </si>
  <si>
    <t xml:space="preserve">Предварительные научно-проектные работы на памятники архитектуры и истории: объем памятника до 20,0 тыс.м3, 1(памятник) </t>
  </si>
  <si>
    <t xml:space="preserve">
(СЦНПР_91-7-1-5-Б) </t>
  </si>
  <si>
    <t>Ремонт фасада многоквартирного дома по адресу: Ленинградская область, Кингисеппский район, г. Кингисепп, ул. Жукова, д. 12</t>
  </si>
  <si>
    <t xml:space="preserve">На основании ТП:  Этажность 4; высота 14,5 м
Объем здания – 11628 м3
</t>
  </si>
  <si>
    <t xml:space="preserve">Инженерное обследование, объем памятника до 20,0 тыс.м3: категория сложности II, 1(памятник) </t>
  </si>
  <si>
    <t>(1330*1)
(A*X)*Кинф</t>
  </si>
  <si>
    <t xml:space="preserve">
(СЦНПР_91-1-12-4-Б) </t>
  </si>
  <si>
    <t xml:space="preserve">Комплексное предварительное обследование состояния материалов и конструкций памятника, объем памятника до 20,0 тыс.м3: категория сложности II, 1(памятник) </t>
  </si>
  <si>
    <t xml:space="preserve">Жилые дома: четырехэтажные, 11628 (м3) </t>
  </si>
  <si>
    <t xml:space="preserve">СБЦП "Нормативы подготовки тех.документации для капремонта зданий и сооружений жил.-гражд. назначения (2012)" табл.1 п.1.4
(СБЦП05-1-1-4) </t>
  </si>
  <si>
    <t>(200000+6*11628)*(1,25))*6,7*0,285
(A+B*X)*(К1)*Кинф*Котн</t>
  </si>
  <si>
    <t>(200000+6*11628)*(1,25))*6,7*0,285*0,04</t>
  </si>
  <si>
    <t>(200000+6*11628)*(1,25))*6,7*0,285*0,05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</si>
</sst>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</cellStyleXfs>
  <cellXfs count="54">
    <xf numFmtId="0" fontId="0" fillId="0" borderId="0" xfId="0"/>
    <xf numFmtId="0" fontId="0" fillId="0" borderId="0" xfId="0" applyFill="1" applyAlignment="1">
      <alignment vertic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3" xfId="3" applyFill="1" applyBorder="1">
      <alignment horizontal="center" wrapText="1"/>
    </xf>
    <xf numFmtId="0" fontId="2" fillId="0" borderId="4" xfId="3" applyFill="1" applyBorder="1" applyAlignment="1">
      <alignment horizontal="center" wrapText="1"/>
    </xf>
    <xf numFmtId="0" fontId="2" fillId="0" borderId="1" xfId="5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5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5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0" xfId="0" applyFo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" fontId="9" fillId="0" borderId="0" xfId="0" applyNumberFormat="1" applyFont="1" applyFill="1"/>
  </cellXfs>
  <cellStyles count="6">
    <cellStyle name="Итоги" xfId="1"/>
    <cellStyle name="ЛокСмета" xfId="2"/>
    <cellStyle name="Обычный" xfId="0" builtinId="0"/>
    <cellStyle name="ПИР" xfId="3"/>
    <cellStyle name="Титул" xfId="4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5"/>
  <sheetViews>
    <sheetView showGridLines="0" tabSelected="1" view="pageBreakPreview" topLeftCell="A235" zoomScale="85" zoomScaleNormal="78" zoomScaleSheetLayoutView="85" workbookViewId="0">
      <selection activeCell="E252" sqref="E252"/>
    </sheetView>
  </sheetViews>
  <sheetFormatPr defaultColWidth="8.85546875" defaultRowHeight="12.75" outlineLevelRow="1" x14ac:dyDescent="0.2"/>
  <cols>
    <col min="1" max="1" width="4.28515625" style="9" customWidth="1"/>
    <col min="2" max="2" width="46.140625" style="9" customWidth="1"/>
    <col min="3" max="3" width="46.42578125" style="9" customWidth="1"/>
    <col min="4" max="4" width="31.42578125" style="9" customWidth="1"/>
    <col min="5" max="5" width="12.7109375" style="53" customWidth="1"/>
    <col min="6" max="7" width="8.85546875" style="9"/>
    <col min="8" max="8" width="16" style="9" customWidth="1"/>
    <col min="9" max="16384" width="8.85546875" style="9"/>
  </cols>
  <sheetData>
    <row r="1" spans="1:14" s="2" customFormat="1" ht="15" x14ac:dyDescent="0.2">
      <c r="A1" s="1"/>
      <c r="B1" s="33" t="s">
        <v>147</v>
      </c>
      <c r="C1" s="33"/>
      <c r="D1" s="33"/>
      <c r="E1" s="45"/>
      <c r="N1" s="3"/>
    </row>
    <row r="2" spans="1:14" s="2" customFormat="1" ht="15" x14ac:dyDescent="0.2">
      <c r="A2" s="1"/>
      <c r="B2" s="34" t="s">
        <v>148</v>
      </c>
      <c r="C2" s="34"/>
      <c r="D2" s="34"/>
      <c r="E2" s="45"/>
      <c r="N2" s="3"/>
    </row>
    <row r="3" spans="1:14" s="4" customFormat="1" ht="15" x14ac:dyDescent="0.25">
      <c r="A3" s="5"/>
      <c r="B3" s="5"/>
      <c r="C3" s="5"/>
      <c r="D3" s="5"/>
      <c r="E3" s="46"/>
    </row>
    <row r="4" spans="1:14" s="4" customFormat="1" ht="46.5" customHeight="1" x14ac:dyDescent="0.25">
      <c r="A4" s="35" t="s">
        <v>321</v>
      </c>
      <c r="B4" s="35"/>
      <c r="C4" s="35"/>
      <c r="D4" s="35"/>
      <c r="E4" s="35"/>
    </row>
    <row r="5" spans="1:14" ht="79.900000000000006" customHeight="1" x14ac:dyDescent="0.2">
      <c r="A5" s="6" t="s">
        <v>0</v>
      </c>
      <c r="B5" s="7" t="s">
        <v>1</v>
      </c>
      <c r="C5" s="7" t="s">
        <v>2</v>
      </c>
      <c r="D5" s="8" t="s">
        <v>3</v>
      </c>
      <c r="E5" s="47" t="s">
        <v>4</v>
      </c>
    </row>
    <row r="6" spans="1:14" x14ac:dyDescent="0.2">
      <c r="A6" s="10">
        <v>1</v>
      </c>
      <c r="B6" s="11">
        <v>2</v>
      </c>
      <c r="C6" s="11">
        <v>3</v>
      </c>
      <c r="D6" s="10">
        <v>4</v>
      </c>
      <c r="E6" s="10">
        <v>5</v>
      </c>
    </row>
    <row r="7" spans="1:14" ht="20.45" customHeight="1" x14ac:dyDescent="0.2">
      <c r="A7" s="36" t="s">
        <v>97</v>
      </c>
      <c r="B7" s="37"/>
      <c r="C7" s="37"/>
      <c r="D7" s="37"/>
      <c r="E7" s="37"/>
    </row>
    <row r="8" spans="1:14" ht="57" customHeight="1" x14ac:dyDescent="0.2">
      <c r="A8" s="22"/>
      <c r="B8" s="38" t="s">
        <v>322</v>
      </c>
      <c r="C8" s="39"/>
      <c r="D8" s="39"/>
      <c r="E8" s="39"/>
    </row>
    <row r="9" spans="1:14" ht="38.25" x14ac:dyDescent="0.2">
      <c r="A9" s="29">
        <v>1</v>
      </c>
      <c r="B9" s="27" t="s">
        <v>319</v>
      </c>
      <c r="C9" s="12" t="s">
        <v>317</v>
      </c>
      <c r="D9" s="13" t="s">
        <v>318</v>
      </c>
      <c r="E9" s="48">
        <f>1000*76.24</f>
        <v>76240</v>
      </c>
    </row>
    <row r="10" spans="1:14" ht="24" outlineLevel="1" x14ac:dyDescent="0.2">
      <c r="A10" s="30"/>
      <c r="B10" s="14"/>
      <c r="C10" s="15" t="s">
        <v>309</v>
      </c>
      <c r="D10" s="16" t="s">
        <v>310</v>
      </c>
      <c r="E10" s="49" t="s">
        <v>5</v>
      </c>
    </row>
    <row r="11" spans="1:14" ht="24" outlineLevel="1" x14ac:dyDescent="0.2">
      <c r="A11" s="30"/>
      <c r="B11" s="14"/>
      <c r="C11" s="15" t="s">
        <v>6</v>
      </c>
      <c r="D11" s="16" t="s">
        <v>7</v>
      </c>
      <c r="E11" s="49"/>
    </row>
    <row r="12" spans="1:14" ht="24" outlineLevel="1" x14ac:dyDescent="0.2">
      <c r="A12" s="30"/>
      <c r="B12" s="14"/>
      <c r="C12" s="15" t="s">
        <v>8</v>
      </c>
      <c r="D12" s="16" t="s">
        <v>9</v>
      </c>
      <c r="E12" s="49"/>
    </row>
    <row r="13" spans="1:14" ht="36" outlineLevel="1" x14ac:dyDescent="0.2">
      <c r="A13" s="30"/>
      <c r="B13" s="14"/>
      <c r="C13" s="15" t="s">
        <v>10</v>
      </c>
      <c r="D13" s="16" t="s">
        <v>11</v>
      </c>
      <c r="E13" s="49"/>
    </row>
    <row r="14" spans="1:14" ht="24" outlineLevel="1" x14ac:dyDescent="0.2">
      <c r="A14" s="30"/>
      <c r="B14" s="14"/>
      <c r="C14" s="15" t="s">
        <v>12</v>
      </c>
      <c r="D14" s="16" t="s">
        <v>11</v>
      </c>
      <c r="E14" s="49"/>
    </row>
    <row r="15" spans="1:14" outlineLevel="1" x14ac:dyDescent="0.2">
      <c r="A15" s="30"/>
      <c r="B15" s="14"/>
      <c r="C15" s="15" t="s">
        <v>13</v>
      </c>
      <c r="D15" s="16" t="s">
        <v>14</v>
      </c>
      <c r="E15" s="49"/>
    </row>
    <row r="16" spans="1:14" ht="24" outlineLevel="1" x14ac:dyDescent="0.2">
      <c r="A16" s="30"/>
      <c r="B16" s="14"/>
      <c r="C16" s="15" t="s">
        <v>15</v>
      </c>
      <c r="D16" s="16" t="s">
        <v>7</v>
      </c>
      <c r="E16" s="49"/>
    </row>
    <row r="17" spans="1:5" outlineLevel="1" x14ac:dyDescent="0.2">
      <c r="A17" s="30"/>
      <c r="B17" s="14"/>
      <c r="C17" s="15" t="s">
        <v>16</v>
      </c>
      <c r="D17" s="16" t="s">
        <v>17</v>
      </c>
      <c r="E17" s="49"/>
    </row>
    <row r="18" spans="1:5" ht="51" x14ac:dyDescent="0.2">
      <c r="A18" s="29">
        <v>2</v>
      </c>
      <c r="B18" s="24" t="s">
        <v>98</v>
      </c>
      <c r="C18" s="12" t="s">
        <v>99</v>
      </c>
      <c r="D18" s="13" t="s">
        <v>311</v>
      </c>
      <c r="E18" s="48">
        <f>220*76.24</f>
        <v>16772.8</v>
      </c>
    </row>
    <row r="19" spans="1:5" ht="24" outlineLevel="1" x14ac:dyDescent="0.2">
      <c r="A19" s="30"/>
      <c r="B19" s="14"/>
      <c r="C19" s="15" t="s">
        <v>309</v>
      </c>
      <c r="D19" s="16" t="s">
        <v>310</v>
      </c>
      <c r="E19" s="49" t="s">
        <v>5</v>
      </c>
    </row>
    <row r="20" spans="1:5" ht="38.25" x14ac:dyDescent="0.2">
      <c r="A20" s="29">
        <v>3</v>
      </c>
      <c r="B20" s="24" t="s">
        <v>149</v>
      </c>
      <c r="C20" s="12" t="s">
        <v>91</v>
      </c>
      <c r="D20" s="13" t="s">
        <v>312</v>
      </c>
      <c r="E20" s="48">
        <f>11.3*15*76.24</f>
        <v>12922.679999999998</v>
      </c>
    </row>
    <row r="21" spans="1:5" ht="24" outlineLevel="1" x14ac:dyDescent="0.2">
      <c r="A21" s="30"/>
      <c r="B21" s="14"/>
      <c r="C21" s="15" t="s">
        <v>309</v>
      </c>
      <c r="D21" s="16" t="s">
        <v>310</v>
      </c>
      <c r="E21" s="49" t="s">
        <v>5</v>
      </c>
    </row>
    <row r="22" spans="1:5" ht="30" customHeight="1" x14ac:dyDescent="0.2">
      <c r="A22" s="22"/>
      <c r="B22" s="40" t="s">
        <v>100</v>
      </c>
      <c r="C22" s="41"/>
      <c r="D22" s="41"/>
      <c r="E22" s="50">
        <f>E9+E18+E20</f>
        <v>105935.48</v>
      </c>
    </row>
    <row r="23" spans="1:5" ht="20.45" customHeight="1" x14ac:dyDescent="0.2">
      <c r="A23" s="36" t="s">
        <v>103</v>
      </c>
      <c r="B23" s="37"/>
      <c r="C23" s="37"/>
      <c r="D23" s="37"/>
      <c r="E23" s="37"/>
    </row>
    <row r="24" spans="1:5" ht="57" customHeight="1" x14ac:dyDescent="0.2">
      <c r="A24" s="22"/>
      <c r="B24" s="38" t="s">
        <v>322</v>
      </c>
      <c r="C24" s="39"/>
      <c r="D24" s="39"/>
      <c r="E24" s="39"/>
    </row>
    <row r="25" spans="1:5" ht="33" customHeight="1" x14ac:dyDescent="0.2">
      <c r="A25" s="22"/>
      <c r="B25" s="38" t="s">
        <v>22</v>
      </c>
      <c r="C25" s="39"/>
      <c r="D25" s="39"/>
      <c r="E25" s="39"/>
    </row>
    <row r="26" spans="1:5" ht="51" x14ac:dyDescent="0.2">
      <c r="A26" s="29">
        <v>4</v>
      </c>
      <c r="B26" s="24" t="s">
        <v>93</v>
      </c>
      <c r="C26" s="12" t="s">
        <v>92</v>
      </c>
      <c r="D26" s="13" t="s">
        <v>250</v>
      </c>
      <c r="E26" s="48">
        <f>560*76.24</f>
        <v>42694.399999999994</v>
      </c>
    </row>
    <row r="27" spans="1:5" ht="24" outlineLevel="1" x14ac:dyDescent="0.2">
      <c r="A27" s="30"/>
      <c r="B27" s="14"/>
      <c r="C27" s="15" t="s">
        <v>309</v>
      </c>
      <c r="D27" s="16" t="s">
        <v>310</v>
      </c>
      <c r="E27" s="49" t="s">
        <v>5</v>
      </c>
    </row>
    <row r="28" spans="1:5" ht="24" outlineLevel="1" x14ac:dyDescent="0.2">
      <c r="A28" s="30"/>
      <c r="B28" s="14"/>
      <c r="C28" s="15" t="s">
        <v>23</v>
      </c>
      <c r="D28" s="16" t="s">
        <v>11</v>
      </c>
      <c r="E28" s="49">
        <f>E26*0.2</f>
        <v>8538.8799999999992</v>
      </c>
    </row>
    <row r="29" spans="1:5" ht="36" outlineLevel="1" x14ac:dyDescent="0.2">
      <c r="A29" s="30"/>
      <c r="B29" s="14"/>
      <c r="C29" s="15" t="s">
        <v>24</v>
      </c>
      <c r="D29" s="16" t="s">
        <v>25</v>
      </c>
      <c r="E29" s="49">
        <f>E26*0.8</f>
        <v>34155.519999999997</v>
      </c>
    </row>
    <row r="30" spans="1:5" outlineLevel="1" x14ac:dyDescent="0.2">
      <c r="A30" s="30"/>
      <c r="B30" s="14"/>
      <c r="C30" s="15" t="s">
        <v>16</v>
      </c>
      <c r="D30" s="16" t="s">
        <v>17</v>
      </c>
      <c r="E30" s="49"/>
    </row>
    <row r="31" spans="1:5" ht="63.75" x14ac:dyDescent="0.2">
      <c r="A31" s="29">
        <v>5</v>
      </c>
      <c r="B31" s="24" t="s">
        <v>26</v>
      </c>
      <c r="C31" s="12" t="s">
        <v>27</v>
      </c>
      <c r="D31" s="13" t="s">
        <v>251</v>
      </c>
      <c r="E31" s="48">
        <f>1*380*76.24</f>
        <v>28971.199999999997</v>
      </c>
    </row>
    <row r="32" spans="1:5" ht="24" outlineLevel="1" x14ac:dyDescent="0.2">
      <c r="A32" s="30"/>
      <c r="B32" s="14"/>
      <c r="C32" s="15" t="s">
        <v>309</v>
      </c>
      <c r="D32" s="16" t="s">
        <v>310</v>
      </c>
      <c r="E32" s="49" t="s">
        <v>5</v>
      </c>
    </row>
    <row r="33" spans="1:5" ht="42" customHeight="1" x14ac:dyDescent="0.2">
      <c r="A33" s="31" t="s">
        <v>101</v>
      </c>
      <c r="B33" s="32"/>
      <c r="C33" s="32"/>
      <c r="D33" s="32"/>
      <c r="E33" s="32"/>
    </row>
    <row r="34" spans="1:5" ht="51" x14ac:dyDescent="0.2">
      <c r="A34" s="29">
        <v>6</v>
      </c>
      <c r="B34" s="24" t="s">
        <v>150</v>
      </c>
      <c r="C34" s="12" t="s">
        <v>19</v>
      </c>
      <c r="D34" s="13" t="s">
        <v>252</v>
      </c>
      <c r="E34" s="48">
        <f>1144*5*0.85*6.54</f>
        <v>31797.48</v>
      </c>
    </row>
    <row r="35" spans="1:5" ht="36" outlineLevel="1" x14ac:dyDescent="0.2">
      <c r="A35" s="30"/>
      <c r="B35" s="14"/>
      <c r="C35" s="15" t="s">
        <v>20</v>
      </c>
      <c r="D35" s="16" t="s">
        <v>21</v>
      </c>
      <c r="E35" s="49" t="s">
        <v>5</v>
      </c>
    </row>
    <row r="36" spans="1:5" ht="24" outlineLevel="1" x14ac:dyDescent="0.2">
      <c r="A36" s="30"/>
      <c r="B36" s="14"/>
      <c r="C36" s="15" t="s">
        <v>248</v>
      </c>
      <c r="D36" s="16" t="s">
        <v>249</v>
      </c>
      <c r="E36" s="49" t="s">
        <v>5</v>
      </c>
    </row>
    <row r="37" spans="1:5" ht="63.75" x14ac:dyDescent="0.2">
      <c r="A37" s="23">
        <v>7</v>
      </c>
      <c r="B37" s="24" t="s">
        <v>315</v>
      </c>
      <c r="C37" s="12" t="s">
        <v>145</v>
      </c>
      <c r="D37" s="13" t="s">
        <v>316</v>
      </c>
      <c r="E37" s="48">
        <f>(60*2047.4)*6.54</f>
        <v>803399.76</v>
      </c>
    </row>
    <row r="38" spans="1:5" ht="20.45" customHeight="1" x14ac:dyDescent="0.2">
      <c r="A38" s="22"/>
      <c r="B38" s="38" t="s">
        <v>151</v>
      </c>
      <c r="C38" s="39"/>
      <c r="D38" s="39"/>
      <c r="E38" s="39"/>
    </row>
    <row r="39" spans="1:5" ht="25.5" x14ac:dyDescent="0.2">
      <c r="A39" s="23">
        <v>8</v>
      </c>
      <c r="B39" s="24" t="s">
        <v>323</v>
      </c>
      <c r="C39" s="12" t="s">
        <v>325</v>
      </c>
      <c r="D39" s="13" t="s">
        <v>324</v>
      </c>
      <c r="E39" s="48">
        <f>1330*76.24</f>
        <v>101399.2</v>
      </c>
    </row>
    <row r="40" spans="1:5" ht="24" outlineLevel="1" x14ac:dyDescent="0.2">
      <c r="A40" s="23"/>
      <c r="B40" s="14"/>
      <c r="C40" s="15" t="s">
        <v>309</v>
      </c>
      <c r="D40" s="16" t="s">
        <v>310</v>
      </c>
      <c r="E40" s="49" t="s">
        <v>5</v>
      </c>
    </row>
    <row r="41" spans="1:5" ht="24" outlineLevel="1" x14ac:dyDescent="0.2">
      <c r="A41" s="23"/>
      <c r="B41" s="14"/>
      <c r="C41" s="15" t="s">
        <v>28</v>
      </c>
      <c r="D41" s="16" t="s">
        <v>29</v>
      </c>
      <c r="E41" s="49"/>
    </row>
    <row r="42" spans="1:5" ht="15" outlineLevel="1" x14ac:dyDescent="0.2">
      <c r="A42" s="23"/>
      <c r="B42" s="14"/>
      <c r="C42" s="15" t="s">
        <v>30</v>
      </c>
      <c r="D42" s="16" t="s">
        <v>31</v>
      </c>
      <c r="E42" s="49"/>
    </row>
    <row r="43" spans="1:5" ht="24" outlineLevel="1" x14ac:dyDescent="0.2">
      <c r="A43" s="23"/>
      <c r="B43" s="14"/>
      <c r="C43" s="15" t="s">
        <v>32</v>
      </c>
      <c r="D43" s="16" t="s">
        <v>33</v>
      </c>
      <c r="E43" s="49"/>
    </row>
    <row r="44" spans="1:5" ht="24" outlineLevel="1" x14ac:dyDescent="0.2">
      <c r="A44" s="23"/>
      <c r="B44" s="14"/>
      <c r="C44" s="15" t="s">
        <v>34</v>
      </c>
      <c r="D44" s="16" t="s">
        <v>14</v>
      </c>
      <c r="E44" s="49"/>
    </row>
    <row r="45" spans="1:5" ht="24" outlineLevel="1" x14ac:dyDescent="0.2">
      <c r="A45" s="23"/>
      <c r="B45" s="14"/>
      <c r="C45" s="15" t="s">
        <v>35</v>
      </c>
      <c r="D45" s="16" t="s">
        <v>36</v>
      </c>
      <c r="E45" s="49"/>
    </row>
    <row r="46" spans="1:5" ht="15" outlineLevel="1" x14ac:dyDescent="0.2">
      <c r="A46" s="23"/>
      <c r="B46" s="14"/>
      <c r="C46" s="15" t="s">
        <v>16</v>
      </c>
      <c r="D46" s="16" t="s">
        <v>17</v>
      </c>
      <c r="E46" s="49"/>
    </row>
    <row r="47" spans="1:5" ht="20.45" customHeight="1" x14ac:dyDescent="0.2">
      <c r="A47" s="22"/>
      <c r="B47" s="38" t="s">
        <v>134</v>
      </c>
      <c r="C47" s="39"/>
      <c r="D47" s="39"/>
      <c r="E47" s="39"/>
    </row>
    <row r="48" spans="1:5" ht="38.25" x14ac:dyDescent="0.2">
      <c r="A48" s="23">
        <v>9</v>
      </c>
      <c r="B48" s="24" t="s">
        <v>175</v>
      </c>
      <c r="C48" s="12" t="s">
        <v>135</v>
      </c>
      <c r="D48" s="13" t="s">
        <v>313</v>
      </c>
      <c r="E48" s="48">
        <f>(137*12)*(0.42+0.5)*76.24*0.6*1.2</f>
        <v>83024.262143999964</v>
      </c>
    </row>
    <row r="49" spans="1:5" ht="24" outlineLevel="1" x14ac:dyDescent="0.2">
      <c r="A49" s="23"/>
      <c r="B49" s="14"/>
      <c r="C49" s="15" t="s">
        <v>309</v>
      </c>
      <c r="D49" s="16" t="s">
        <v>310</v>
      </c>
      <c r="E49" s="49" t="s">
        <v>5</v>
      </c>
    </row>
    <row r="50" spans="1:5" ht="24" outlineLevel="1" x14ac:dyDescent="0.2">
      <c r="A50" s="23"/>
      <c r="B50" s="14"/>
      <c r="C50" s="15" t="s">
        <v>139</v>
      </c>
      <c r="D50" s="16" t="s">
        <v>140</v>
      </c>
      <c r="E50" s="49"/>
    </row>
    <row r="51" spans="1:5" ht="24" outlineLevel="1" x14ac:dyDescent="0.2">
      <c r="A51" s="23"/>
      <c r="B51" s="14"/>
      <c r="C51" s="15" t="s">
        <v>141</v>
      </c>
      <c r="D51" s="16" t="s">
        <v>142</v>
      </c>
      <c r="E51" s="49"/>
    </row>
    <row r="52" spans="1:5" ht="48" outlineLevel="1" x14ac:dyDescent="0.2">
      <c r="A52" s="23"/>
      <c r="B52" s="14"/>
      <c r="C52" s="15" t="s">
        <v>136</v>
      </c>
      <c r="D52" s="16" t="s">
        <v>138</v>
      </c>
      <c r="E52" s="49"/>
    </row>
    <row r="53" spans="1:5" ht="53.25" customHeight="1" outlineLevel="1" x14ac:dyDescent="0.2">
      <c r="A53" s="23"/>
      <c r="B53" s="14"/>
      <c r="C53" s="15" t="s">
        <v>137</v>
      </c>
      <c r="D53" s="16" t="s">
        <v>143</v>
      </c>
      <c r="E53" s="49"/>
    </row>
    <row r="54" spans="1:5" ht="38.25" x14ac:dyDescent="0.2">
      <c r="A54" s="23">
        <v>10</v>
      </c>
      <c r="B54" s="24" t="s">
        <v>176</v>
      </c>
      <c r="C54" s="12" t="s">
        <v>144</v>
      </c>
      <c r="D54" s="13" t="s">
        <v>253</v>
      </c>
      <c r="E54" s="48">
        <f>(95*20)*(0.42+0.5)*76.24*0.6*1.2</f>
        <v>95952.614399999962</v>
      </c>
    </row>
    <row r="55" spans="1:5" ht="24" outlineLevel="1" x14ac:dyDescent="0.2">
      <c r="A55" s="23"/>
      <c r="B55" s="14"/>
      <c r="C55" s="15" t="s">
        <v>309</v>
      </c>
      <c r="D55" s="16" t="s">
        <v>310</v>
      </c>
      <c r="E55" s="49" t="s">
        <v>5</v>
      </c>
    </row>
    <row r="56" spans="1:5" ht="24" outlineLevel="1" x14ac:dyDescent="0.2">
      <c r="A56" s="23"/>
      <c r="B56" s="14"/>
      <c r="C56" s="15" t="s">
        <v>139</v>
      </c>
      <c r="D56" s="16" t="s">
        <v>140</v>
      </c>
      <c r="E56" s="49"/>
    </row>
    <row r="57" spans="1:5" ht="24" outlineLevel="1" x14ac:dyDescent="0.2">
      <c r="A57" s="23"/>
      <c r="B57" s="14"/>
      <c r="C57" s="15" t="s">
        <v>141</v>
      </c>
      <c r="D57" s="16" t="s">
        <v>142</v>
      </c>
      <c r="E57" s="49"/>
    </row>
    <row r="58" spans="1:5" ht="48" outlineLevel="1" x14ac:dyDescent="0.2">
      <c r="A58" s="23"/>
      <c r="B58" s="14"/>
      <c r="C58" s="15" t="s">
        <v>136</v>
      </c>
      <c r="D58" s="16" t="s">
        <v>138</v>
      </c>
      <c r="E58" s="49"/>
    </row>
    <row r="59" spans="1:5" ht="53.25" customHeight="1" outlineLevel="1" x14ac:dyDescent="0.2">
      <c r="A59" s="23"/>
      <c r="B59" s="14"/>
      <c r="C59" s="15" t="s">
        <v>137</v>
      </c>
      <c r="D59" s="16" t="s">
        <v>143</v>
      </c>
      <c r="E59" s="49"/>
    </row>
    <row r="60" spans="1:5" ht="20.45" customHeight="1" x14ac:dyDescent="0.2">
      <c r="A60" s="23"/>
      <c r="B60" s="38" t="s">
        <v>177</v>
      </c>
      <c r="C60" s="39"/>
      <c r="D60" s="39"/>
      <c r="E60" s="39"/>
    </row>
    <row r="61" spans="1:5" s="26" customFormat="1" ht="51" x14ac:dyDescent="0.2">
      <c r="A61" s="29">
        <v>11</v>
      </c>
      <c r="B61" s="27" t="s">
        <v>326</v>
      </c>
      <c r="C61" s="12" t="s">
        <v>320</v>
      </c>
      <c r="D61" s="13" t="s">
        <v>255</v>
      </c>
      <c r="E61" s="48">
        <f>(240*1)*76.24</f>
        <v>18297.599999999999</v>
      </c>
    </row>
    <row r="62" spans="1:5" s="26" customFormat="1" ht="24" outlineLevel="1" x14ac:dyDescent="0.2">
      <c r="A62" s="30"/>
      <c r="B62" s="14"/>
      <c r="C62" s="15" t="s">
        <v>309</v>
      </c>
      <c r="D62" s="16" t="s">
        <v>310</v>
      </c>
      <c r="E62" s="49" t="s">
        <v>5</v>
      </c>
    </row>
    <row r="63" spans="1:5" s="26" customFormat="1" ht="24" outlineLevel="1" x14ac:dyDescent="0.2">
      <c r="A63" s="30"/>
      <c r="B63" s="14"/>
      <c r="C63" s="15" t="s">
        <v>179</v>
      </c>
      <c r="D63" s="16" t="s">
        <v>29</v>
      </c>
      <c r="E63" s="49"/>
    </row>
    <row r="64" spans="1:5" s="26" customFormat="1" ht="24" outlineLevel="1" x14ac:dyDescent="0.2">
      <c r="A64" s="30"/>
      <c r="B64" s="14"/>
      <c r="C64" s="15" t="s">
        <v>180</v>
      </c>
      <c r="D64" s="16" t="s">
        <v>181</v>
      </c>
      <c r="E64" s="49"/>
    </row>
    <row r="65" spans="1:5" s="26" customFormat="1" outlineLevel="1" x14ac:dyDescent="0.2">
      <c r="A65" s="30"/>
      <c r="B65" s="14"/>
      <c r="C65" s="15" t="s">
        <v>16</v>
      </c>
      <c r="D65" s="16" t="s">
        <v>17</v>
      </c>
      <c r="E65" s="49"/>
    </row>
    <row r="66" spans="1:5" s="26" customFormat="1" ht="48" customHeight="1" x14ac:dyDescent="0.2">
      <c r="A66" s="22"/>
      <c r="B66" s="38" t="s">
        <v>182</v>
      </c>
      <c r="C66" s="39"/>
      <c r="D66" s="39"/>
      <c r="E66" s="39"/>
    </row>
    <row r="67" spans="1:5" s="26" customFormat="1" ht="63.75" x14ac:dyDescent="0.2">
      <c r="A67" s="29">
        <v>12</v>
      </c>
      <c r="B67" s="24" t="s">
        <v>183</v>
      </c>
      <c r="C67" s="12" t="s">
        <v>184</v>
      </c>
      <c r="D67" s="13" t="s">
        <v>254</v>
      </c>
      <c r="E67" s="48">
        <f>590*76.24</f>
        <v>44981.599999999999</v>
      </c>
    </row>
    <row r="68" spans="1:5" s="26" customFormat="1" ht="24" outlineLevel="1" x14ac:dyDescent="0.2">
      <c r="A68" s="30"/>
      <c r="B68" s="14"/>
      <c r="C68" s="15" t="s">
        <v>309</v>
      </c>
      <c r="D68" s="16" t="s">
        <v>310</v>
      </c>
      <c r="E68" s="49" t="s">
        <v>5</v>
      </c>
    </row>
    <row r="69" spans="1:5" s="26" customFormat="1" ht="24" outlineLevel="1" x14ac:dyDescent="0.2">
      <c r="A69" s="30"/>
      <c r="B69" s="14"/>
      <c r="C69" s="15" t="s">
        <v>38</v>
      </c>
      <c r="D69" s="16" t="s">
        <v>36</v>
      </c>
      <c r="E69" s="49"/>
    </row>
    <row r="70" spans="1:5" s="26" customFormat="1" ht="24" outlineLevel="1" x14ac:dyDescent="0.2">
      <c r="A70" s="30"/>
      <c r="B70" s="14"/>
      <c r="C70" s="15" t="s">
        <v>185</v>
      </c>
      <c r="D70" s="16" t="s">
        <v>39</v>
      </c>
      <c r="E70" s="49"/>
    </row>
    <row r="71" spans="1:5" s="26" customFormat="1" ht="24" outlineLevel="1" x14ac:dyDescent="0.2">
      <c r="A71" s="30"/>
      <c r="B71" s="14"/>
      <c r="C71" s="15" t="s">
        <v>40</v>
      </c>
      <c r="D71" s="16" t="s">
        <v>41</v>
      </c>
      <c r="E71" s="49"/>
    </row>
    <row r="72" spans="1:5" s="26" customFormat="1" outlineLevel="1" x14ac:dyDescent="0.2">
      <c r="A72" s="30"/>
      <c r="B72" s="14"/>
      <c r="C72" s="15" t="s">
        <v>16</v>
      </c>
      <c r="D72" s="16" t="s">
        <v>17</v>
      </c>
      <c r="E72" s="49"/>
    </row>
    <row r="73" spans="1:5" s="26" customFormat="1" ht="63.75" x14ac:dyDescent="0.2">
      <c r="A73" s="29">
        <v>13</v>
      </c>
      <c r="B73" s="24" t="s">
        <v>186</v>
      </c>
      <c r="C73" s="12" t="s">
        <v>187</v>
      </c>
      <c r="D73" s="13" t="s">
        <v>255</v>
      </c>
      <c r="E73" s="48">
        <f>240*76.24</f>
        <v>18297.599999999999</v>
      </c>
    </row>
    <row r="74" spans="1:5" s="26" customFormat="1" ht="24" outlineLevel="1" x14ac:dyDescent="0.2">
      <c r="A74" s="30"/>
      <c r="B74" s="14"/>
      <c r="C74" s="15" t="s">
        <v>309</v>
      </c>
      <c r="D74" s="16" t="s">
        <v>310</v>
      </c>
      <c r="E74" s="49" t="s">
        <v>5</v>
      </c>
    </row>
    <row r="75" spans="1:5" s="26" customFormat="1" ht="24" outlineLevel="1" x14ac:dyDescent="0.2">
      <c r="A75" s="30"/>
      <c r="B75" s="14"/>
      <c r="C75" s="15" t="s">
        <v>38</v>
      </c>
      <c r="D75" s="16" t="s">
        <v>43</v>
      </c>
      <c r="E75" s="49"/>
    </row>
    <row r="76" spans="1:5" s="26" customFormat="1" ht="36" outlineLevel="1" x14ac:dyDescent="0.2">
      <c r="A76" s="30"/>
      <c r="B76" s="14"/>
      <c r="C76" s="15" t="s">
        <v>44</v>
      </c>
      <c r="D76" s="16" t="s">
        <v>7</v>
      </c>
      <c r="E76" s="49"/>
    </row>
    <row r="77" spans="1:5" s="26" customFormat="1" ht="24" outlineLevel="1" x14ac:dyDescent="0.2">
      <c r="A77" s="30"/>
      <c r="B77" s="14"/>
      <c r="C77" s="15" t="s">
        <v>40</v>
      </c>
      <c r="D77" s="16" t="s">
        <v>41</v>
      </c>
      <c r="E77" s="49"/>
    </row>
    <row r="78" spans="1:5" s="26" customFormat="1" outlineLevel="1" x14ac:dyDescent="0.2">
      <c r="A78" s="30"/>
      <c r="B78" s="14"/>
      <c r="C78" s="15" t="s">
        <v>16</v>
      </c>
      <c r="D78" s="16" t="s">
        <v>17</v>
      </c>
      <c r="E78" s="49"/>
    </row>
    <row r="79" spans="1:5" s="26" customFormat="1" ht="63.75" x14ac:dyDescent="0.2">
      <c r="A79" s="29">
        <v>14</v>
      </c>
      <c r="B79" s="24" t="s">
        <v>188</v>
      </c>
      <c r="C79" s="12" t="s">
        <v>189</v>
      </c>
      <c r="D79" s="13" t="s">
        <v>256</v>
      </c>
      <c r="E79" s="48">
        <f>350*76.24</f>
        <v>26684</v>
      </c>
    </row>
    <row r="80" spans="1:5" s="26" customFormat="1" ht="24" outlineLevel="1" x14ac:dyDescent="0.2">
      <c r="A80" s="30"/>
      <c r="B80" s="14"/>
      <c r="C80" s="15" t="s">
        <v>309</v>
      </c>
      <c r="D80" s="16" t="s">
        <v>310</v>
      </c>
      <c r="E80" s="49" t="s">
        <v>5</v>
      </c>
    </row>
    <row r="81" spans="1:5" s="26" customFormat="1" ht="24" outlineLevel="1" x14ac:dyDescent="0.2">
      <c r="A81" s="30"/>
      <c r="B81" s="14"/>
      <c r="C81" s="15" t="s">
        <v>38</v>
      </c>
      <c r="D81" s="16" t="s">
        <v>43</v>
      </c>
      <c r="E81" s="49"/>
    </row>
    <row r="82" spans="1:5" s="26" customFormat="1" ht="36" outlineLevel="1" x14ac:dyDescent="0.2">
      <c r="A82" s="30"/>
      <c r="B82" s="14"/>
      <c r="C82" s="15" t="s">
        <v>44</v>
      </c>
      <c r="D82" s="16" t="s">
        <v>7</v>
      </c>
      <c r="E82" s="49"/>
    </row>
    <row r="83" spans="1:5" s="26" customFormat="1" ht="24" outlineLevel="1" x14ac:dyDescent="0.2">
      <c r="A83" s="30"/>
      <c r="B83" s="14"/>
      <c r="C83" s="15" t="s">
        <v>40</v>
      </c>
      <c r="D83" s="16" t="s">
        <v>41</v>
      </c>
      <c r="E83" s="49"/>
    </row>
    <row r="84" spans="1:5" s="26" customFormat="1" outlineLevel="1" x14ac:dyDescent="0.2">
      <c r="A84" s="30"/>
      <c r="B84" s="14"/>
      <c r="C84" s="15" t="s">
        <v>16</v>
      </c>
      <c r="D84" s="16" t="s">
        <v>17</v>
      </c>
      <c r="E84" s="49"/>
    </row>
    <row r="85" spans="1:5" s="26" customFormat="1" ht="51" x14ac:dyDescent="0.2">
      <c r="A85" s="29">
        <v>15</v>
      </c>
      <c r="B85" s="24" t="s">
        <v>190</v>
      </c>
      <c r="C85" s="12" t="s">
        <v>191</v>
      </c>
      <c r="D85" s="13" t="s">
        <v>257</v>
      </c>
      <c r="E85" s="48">
        <f>350*76.24</f>
        <v>26684</v>
      </c>
    </row>
    <row r="86" spans="1:5" s="26" customFormat="1" ht="24" outlineLevel="1" x14ac:dyDescent="0.2">
      <c r="A86" s="30"/>
      <c r="B86" s="14"/>
      <c r="C86" s="15" t="s">
        <v>309</v>
      </c>
      <c r="D86" s="16" t="s">
        <v>310</v>
      </c>
      <c r="E86" s="49" t="s">
        <v>5</v>
      </c>
    </row>
    <row r="87" spans="1:5" s="26" customFormat="1" ht="24" outlineLevel="1" x14ac:dyDescent="0.2">
      <c r="A87" s="30"/>
      <c r="B87" s="14"/>
      <c r="C87" s="15" t="s">
        <v>38</v>
      </c>
      <c r="D87" s="16" t="s">
        <v>43</v>
      </c>
      <c r="E87" s="49"/>
    </row>
    <row r="88" spans="1:5" s="26" customFormat="1" ht="36" outlineLevel="1" x14ac:dyDescent="0.2">
      <c r="A88" s="30"/>
      <c r="B88" s="14"/>
      <c r="C88" s="15" t="s">
        <v>192</v>
      </c>
      <c r="D88" s="16" t="s">
        <v>7</v>
      </c>
      <c r="E88" s="49"/>
    </row>
    <row r="89" spans="1:5" s="26" customFormat="1" ht="24" outlineLevel="1" x14ac:dyDescent="0.2">
      <c r="A89" s="30"/>
      <c r="B89" s="14"/>
      <c r="C89" s="15" t="s">
        <v>193</v>
      </c>
      <c r="D89" s="16" t="s">
        <v>41</v>
      </c>
      <c r="E89" s="49"/>
    </row>
    <row r="90" spans="1:5" s="26" customFormat="1" outlineLevel="1" x14ac:dyDescent="0.2">
      <c r="A90" s="30"/>
      <c r="B90" s="14"/>
      <c r="C90" s="15" t="s">
        <v>16</v>
      </c>
      <c r="D90" s="16" t="s">
        <v>17</v>
      </c>
      <c r="E90" s="49"/>
    </row>
    <row r="91" spans="1:5" s="26" customFormat="1" ht="63.75" x14ac:dyDescent="0.2">
      <c r="A91" s="29">
        <v>16</v>
      </c>
      <c r="B91" s="24" t="s">
        <v>194</v>
      </c>
      <c r="C91" s="12" t="s">
        <v>195</v>
      </c>
      <c r="D91" s="13" t="s">
        <v>258</v>
      </c>
      <c r="E91" s="48">
        <f>50*76.24</f>
        <v>3811.9999999999995</v>
      </c>
    </row>
    <row r="92" spans="1:5" s="26" customFormat="1" ht="24" outlineLevel="1" x14ac:dyDescent="0.2">
      <c r="A92" s="30"/>
      <c r="B92" s="14"/>
      <c r="C92" s="15" t="s">
        <v>309</v>
      </c>
      <c r="D92" s="16" t="s">
        <v>310</v>
      </c>
      <c r="E92" s="49" t="s">
        <v>5</v>
      </c>
    </row>
    <row r="93" spans="1:5" s="26" customFormat="1" ht="24" outlineLevel="1" x14ac:dyDescent="0.2">
      <c r="A93" s="30"/>
      <c r="B93" s="14"/>
      <c r="C93" s="15" t="s">
        <v>38</v>
      </c>
      <c r="D93" s="16" t="s">
        <v>36</v>
      </c>
      <c r="E93" s="49"/>
    </row>
    <row r="94" spans="1:5" s="26" customFormat="1" ht="36" outlineLevel="1" x14ac:dyDescent="0.2">
      <c r="A94" s="30"/>
      <c r="B94" s="14"/>
      <c r="C94" s="15" t="s">
        <v>42</v>
      </c>
      <c r="D94" s="16" t="s">
        <v>39</v>
      </c>
      <c r="E94" s="49"/>
    </row>
    <row r="95" spans="1:5" s="26" customFormat="1" ht="24" outlineLevel="1" x14ac:dyDescent="0.2">
      <c r="A95" s="30"/>
      <c r="B95" s="14"/>
      <c r="C95" s="15" t="s">
        <v>40</v>
      </c>
      <c r="D95" s="16" t="s">
        <v>41</v>
      </c>
      <c r="E95" s="49"/>
    </row>
    <row r="96" spans="1:5" s="26" customFormat="1" outlineLevel="1" x14ac:dyDescent="0.2">
      <c r="A96" s="30"/>
      <c r="B96" s="14"/>
      <c r="C96" s="15" t="s">
        <v>16</v>
      </c>
      <c r="D96" s="16" t="s">
        <v>17</v>
      </c>
      <c r="E96" s="49"/>
    </row>
    <row r="97" spans="1:5" s="26" customFormat="1" ht="20.45" customHeight="1" x14ac:dyDescent="0.2">
      <c r="A97" s="22"/>
      <c r="B97" s="38" t="s">
        <v>246</v>
      </c>
      <c r="C97" s="39"/>
      <c r="D97" s="39"/>
      <c r="E97" s="39"/>
    </row>
    <row r="98" spans="1:5" s="26" customFormat="1" ht="25.5" x14ac:dyDescent="0.2">
      <c r="A98" s="29">
        <v>17</v>
      </c>
      <c r="B98" s="24" t="s">
        <v>196</v>
      </c>
      <c r="C98" s="12" t="s">
        <v>197</v>
      </c>
      <c r="D98" s="13" t="s">
        <v>259</v>
      </c>
      <c r="E98" s="48">
        <f>(15*15)*76.24</f>
        <v>17154</v>
      </c>
    </row>
    <row r="99" spans="1:5" s="26" customFormat="1" ht="24" outlineLevel="1" x14ac:dyDescent="0.2">
      <c r="A99" s="30"/>
      <c r="B99" s="14"/>
      <c r="C99" s="15" t="s">
        <v>309</v>
      </c>
      <c r="D99" s="16" t="s">
        <v>310</v>
      </c>
      <c r="E99" s="49" t="s">
        <v>5</v>
      </c>
    </row>
    <row r="100" spans="1:5" s="26" customFormat="1" ht="25.5" x14ac:dyDescent="0.2">
      <c r="A100" s="29">
        <v>18</v>
      </c>
      <c r="B100" s="24" t="s">
        <v>198</v>
      </c>
      <c r="C100" s="12" t="s">
        <v>199</v>
      </c>
      <c r="D100" s="13" t="s">
        <v>260</v>
      </c>
      <c r="E100" s="48">
        <f>(21*10)*76.24</f>
        <v>16010.4</v>
      </c>
    </row>
    <row r="101" spans="1:5" s="26" customFormat="1" ht="24" outlineLevel="1" x14ac:dyDescent="0.2">
      <c r="A101" s="30"/>
      <c r="B101" s="14"/>
      <c r="C101" s="15" t="s">
        <v>248</v>
      </c>
      <c r="D101" s="16" t="s">
        <v>247</v>
      </c>
      <c r="E101" s="49" t="s">
        <v>5</v>
      </c>
    </row>
    <row r="102" spans="1:5" s="26" customFormat="1" ht="25.5" x14ac:dyDescent="0.2">
      <c r="A102" s="29">
        <v>19</v>
      </c>
      <c r="B102" s="24" t="s">
        <v>200</v>
      </c>
      <c r="C102" s="12" t="s">
        <v>201</v>
      </c>
      <c r="D102" s="13" t="s">
        <v>261</v>
      </c>
      <c r="E102" s="48">
        <f>(15*12)*76.24</f>
        <v>13723.199999999999</v>
      </c>
    </row>
    <row r="103" spans="1:5" s="26" customFormat="1" ht="24" outlineLevel="1" x14ac:dyDescent="0.2">
      <c r="A103" s="30"/>
      <c r="B103" s="14"/>
      <c r="C103" s="15" t="s">
        <v>309</v>
      </c>
      <c r="D103" s="16" t="s">
        <v>310</v>
      </c>
      <c r="E103" s="49" t="s">
        <v>5</v>
      </c>
    </row>
    <row r="104" spans="1:5" s="26" customFormat="1" ht="20.45" customHeight="1" x14ac:dyDescent="0.2">
      <c r="A104" s="22"/>
      <c r="B104" s="38" t="s">
        <v>37</v>
      </c>
      <c r="C104" s="39"/>
      <c r="D104" s="39"/>
      <c r="E104" s="39"/>
    </row>
    <row r="105" spans="1:5" s="26" customFormat="1" ht="51" x14ac:dyDescent="0.2">
      <c r="A105" s="29">
        <v>20</v>
      </c>
      <c r="B105" s="24" t="s">
        <v>202</v>
      </c>
      <c r="C105" s="12" t="s">
        <v>203</v>
      </c>
      <c r="D105" s="13" t="s">
        <v>262</v>
      </c>
      <c r="E105" s="48">
        <f>(10*6)*76.24</f>
        <v>4574.3999999999996</v>
      </c>
    </row>
    <row r="106" spans="1:5" s="26" customFormat="1" ht="24" outlineLevel="1" x14ac:dyDescent="0.2">
      <c r="A106" s="30"/>
      <c r="B106" s="14"/>
      <c r="C106" s="15" t="s">
        <v>309</v>
      </c>
      <c r="D106" s="16" t="s">
        <v>310</v>
      </c>
      <c r="E106" s="49" t="s">
        <v>5</v>
      </c>
    </row>
    <row r="107" spans="1:5" s="26" customFormat="1" ht="51" x14ac:dyDescent="0.2">
      <c r="A107" s="29">
        <v>21</v>
      </c>
      <c r="B107" s="24" t="s">
        <v>204</v>
      </c>
      <c r="C107" s="12" t="s">
        <v>205</v>
      </c>
      <c r="D107" s="13" t="s">
        <v>263</v>
      </c>
      <c r="E107" s="48">
        <f>(14*6)*0.7*76.24</f>
        <v>4482.9119999999994</v>
      </c>
    </row>
    <row r="108" spans="1:5" s="26" customFormat="1" ht="24" outlineLevel="1" x14ac:dyDescent="0.2">
      <c r="A108" s="30"/>
      <c r="B108" s="14"/>
      <c r="C108" s="15" t="s">
        <v>206</v>
      </c>
      <c r="D108" s="16" t="s">
        <v>207</v>
      </c>
      <c r="E108" s="49" t="s">
        <v>5</v>
      </c>
    </row>
    <row r="109" spans="1:5" s="26" customFormat="1" ht="24" outlineLevel="1" x14ac:dyDescent="0.2">
      <c r="A109" s="30"/>
      <c r="B109" s="14"/>
      <c r="C109" s="15" t="s">
        <v>309</v>
      </c>
      <c r="D109" s="16" t="s">
        <v>310</v>
      </c>
      <c r="E109" s="49" t="s">
        <v>5</v>
      </c>
    </row>
    <row r="110" spans="1:5" s="26" customFormat="1" ht="38.25" x14ac:dyDescent="0.2">
      <c r="A110" s="29">
        <v>22</v>
      </c>
      <c r="B110" s="24" t="s">
        <v>208</v>
      </c>
      <c r="C110" s="12" t="s">
        <v>209</v>
      </c>
      <c r="D110" s="13" t="s">
        <v>264</v>
      </c>
      <c r="E110" s="48">
        <f>(3*4)*76.24</f>
        <v>914.87999999999988</v>
      </c>
    </row>
    <row r="111" spans="1:5" s="26" customFormat="1" ht="24" outlineLevel="1" x14ac:dyDescent="0.2">
      <c r="A111" s="30"/>
      <c r="B111" s="14"/>
      <c r="C111" s="15" t="s">
        <v>309</v>
      </c>
      <c r="D111" s="16" t="s">
        <v>310</v>
      </c>
      <c r="E111" s="49" t="s">
        <v>5</v>
      </c>
    </row>
    <row r="112" spans="1:5" s="26" customFormat="1" ht="38.25" x14ac:dyDescent="0.2">
      <c r="A112" s="29">
        <v>23</v>
      </c>
      <c r="B112" s="24" t="s">
        <v>210</v>
      </c>
      <c r="C112" s="12" t="s">
        <v>211</v>
      </c>
      <c r="D112" s="13" t="s">
        <v>265</v>
      </c>
      <c r="E112" s="48">
        <f>(8*4)*0.7*76.24</f>
        <v>1707.7759999999998</v>
      </c>
    </row>
    <row r="113" spans="1:5" s="26" customFormat="1" ht="24" outlineLevel="1" x14ac:dyDescent="0.2">
      <c r="A113" s="30"/>
      <c r="B113" s="14"/>
      <c r="C113" s="15" t="s">
        <v>206</v>
      </c>
      <c r="D113" s="16" t="s">
        <v>207</v>
      </c>
      <c r="E113" s="49" t="s">
        <v>5</v>
      </c>
    </row>
    <row r="114" spans="1:5" s="26" customFormat="1" ht="24" outlineLevel="1" x14ac:dyDescent="0.2">
      <c r="A114" s="30"/>
      <c r="B114" s="14"/>
      <c r="C114" s="15" t="s">
        <v>309</v>
      </c>
      <c r="D114" s="16" t="s">
        <v>310</v>
      </c>
      <c r="E114" s="49" t="s">
        <v>5</v>
      </c>
    </row>
    <row r="115" spans="1:5" s="26" customFormat="1" ht="63.75" x14ac:dyDescent="0.2">
      <c r="A115" s="29">
        <v>24</v>
      </c>
      <c r="B115" s="24" t="s">
        <v>212</v>
      </c>
      <c r="C115" s="12" t="s">
        <v>213</v>
      </c>
      <c r="D115" s="13" t="s">
        <v>266</v>
      </c>
      <c r="E115" s="48">
        <f>(4*5)*76.24</f>
        <v>1524.8</v>
      </c>
    </row>
    <row r="116" spans="1:5" s="26" customFormat="1" ht="24" outlineLevel="1" x14ac:dyDescent="0.2">
      <c r="A116" s="30"/>
      <c r="B116" s="14"/>
      <c r="C116" s="15" t="s">
        <v>309</v>
      </c>
      <c r="D116" s="16" t="s">
        <v>310</v>
      </c>
      <c r="E116" s="49" t="s">
        <v>5</v>
      </c>
    </row>
    <row r="117" spans="1:5" s="26" customFormat="1" ht="20.45" customHeight="1" x14ac:dyDescent="0.2">
      <c r="A117" s="31" t="s">
        <v>214</v>
      </c>
      <c r="B117" s="32"/>
      <c r="C117" s="32"/>
      <c r="D117" s="32"/>
      <c r="E117" s="32"/>
    </row>
    <row r="118" spans="1:5" s="26" customFormat="1" ht="48" customHeight="1" x14ac:dyDescent="0.2">
      <c r="A118" s="22"/>
      <c r="B118" s="38" t="s">
        <v>215</v>
      </c>
      <c r="C118" s="39"/>
      <c r="D118" s="39"/>
      <c r="E118" s="39"/>
    </row>
    <row r="119" spans="1:5" s="26" customFormat="1" ht="38.25" x14ac:dyDescent="0.2">
      <c r="A119" s="29">
        <v>25</v>
      </c>
      <c r="B119" s="24" t="s">
        <v>216</v>
      </c>
      <c r="C119" s="12" t="s">
        <v>217</v>
      </c>
      <c r="D119" s="13" t="s">
        <v>267</v>
      </c>
      <c r="E119" s="48">
        <f>(9*6)*76.24</f>
        <v>4116.96</v>
      </c>
    </row>
    <row r="120" spans="1:5" s="26" customFormat="1" ht="24" outlineLevel="1" x14ac:dyDescent="0.2">
      <c r="A120" s="30"/>
      <c r="B120" s="14"/>
      <c r="C120" s="15" t="s">
        <v>309</v>
      </c>
      <c r="D120" s="16" t="s">
        <v>310</v>
      </c>
      <c r="E120" s="49" t="s">
        <v>5</v>
      </c>
    </row>
    <row r="121" spans="1:5" s="26" customFormat="1" ht="25.5" x14ac:dyDescent="0.2">
      <c r="A121" s="29">
        <v>26</v>
      </c>
      <c r="B121" s="24" t="s">
        <v>218</v>
      </c>
      <c r="C121" s="12" t="s">
        <v>219</v>
      </c>
      <c r="D121" s="13" t="s">
        <v>268</v>
      </c>
      <c r="E121" s="48">
        <f>(8*6)*76.24</f>
        <v>3659.5199999999995</v>
      </c>
    </row>
    <row r="122" spans="1:5" s="26" customFormat="1" ht="24" outlineLevel="1" x14ac:dyDescent="0.2">
      <c r="A122" s="30"/>
      <c r="B122" s="14"/>
      <c r="C122" s="15" t="s">
        <v>309</v>
      </c>
      <c r="D122" s="16" t="s">
        <v>310</v>
      </c>
      <c r="E122" s="49" t="s">
        <v>5</v>
      </c>
    </row>
    <row r="123" spans="1:5" s="26" customFormat="1" ht="25.5" x14ac:dyDescent="0.2">
      <c r="A123" s="29">
        <v>27</v>
      </c>
      <c r="B123" s="24" t="s">
        <v>220</v>
      </c>
      <c r="C123" s="12" t="s">
        <v>221</v>
      </c>
      <c r="D123" s="13" t="s">
        <v>269</v>
      </c>
      <c r="E123" s="48">
        <f>(160*3)*76.24</f>
        <v>36595.199999999997</v>
      </c>
    </row>
    <row r="124" spans="1:5" s="26" customFormat="1" ht="24" outlineLevel="1" x14ac:dyDescent="0.2">
      <c r="A124" s="30"/>
      <c r="B124" s="14"/>
      <c r="C124" s="15" t="s">
        <v>309</v>
      </c>
      <c r="D124" s="16" t="s">
        <v>310</v>
      </c>
      <c r="E124" s="49" t="s">
        <v>5</v>
      </c>
    </row>
    <row r="125" spans="1:5" s="26" customFormat="1" ht="25.5" x14ac:dyDescent="0.2">
      <c r="A125" s="29">
        <v>28</v>
      </c>
      <c r="B125" s="24" t="s">
        <v>222</v>
      </c>
      <c r="C125" s="12" t="s">
        <v>223</v>
      </c>
      <c r="D125" s="13" t="s">
        <v>270</v>
      </c>
      <c r="E125" s="48">
        <f>(127*3)*76.24</f>
        <v>29047.439999999999</v>
      </c>
    </row>
    <row r="126" spans="1:5" s="26" customFormat="1" ht="24" outlineLevel="1" x14ac:dyDescent="0.2">
      <c r="A126" s="30"/>
      <c r="B126" s="14"/>
      <c r="C126" s="15" t="s">
        <v>248</v>
      </c>
      <c r="D126" s="16" t="s">
        <v>247</v>
      </c>
      <c r="E126" s="49" t="s">
        <v>5</v>
      </c>
    </row>
    <row r="127" spans="1:5" s="26" customFormat="1" ht="48" customHeight="1" x14ac:dyDescent="0.2">
      <c r="A127" s="22"/>
      <c r="B127" s="38" t="s">
        <v>224</v>
      </c>
      <c r="C127" s="39"/>
      <c r="D127" s="39"/>
      <c r="E127" s="39"/>
    </row>
    <row r="128" spans="1:5" s="26" customFormat="1" ht="25.5" x14ac:dyDescent="0.2">
      <c r="A128" s="29">
        <v>29</v>
      </c>
      <c r="B128" s="24" t="s">
        <v>225</v>
      </c>
      <c r="C128" s="12" t="s">
        <v>226</v>
      </c>
      <c r="D128" s="13" t="s">
        <v>271</v>
      </c>
      <c r="E128" s="48">
        <f>(12*6)*76.24</f>
        <v>5489.28</v>
      </c>
    </row>
    <row r="129" spans="1:5" s="26" customFormat="1" ht="24" outlineLevel="1" x14ac:dyDescent="0.2">
      <c r="A129" s="30"/>
      <c r="B129" s="14"/>
      <c r="C129" s="15" t="s">
        <v>248</v>
      </c>
      <c r="D129" s="16" t="s">
        <v>247</v>
      </c>
      <c r="E129" s="49" t="s">
        <v>5</v>
      </c>
    </row>
    <row r="130" spans="1:5" s="26" customFormat="1" ht="51" x14ac:dyDescent="0.2">
      <c r="A130" s="29">
        <v>30</v>
      </c>
      <c r="B130" s="24" t="s">
        <v>227</v>
      </c>
      <c r="C130" s="12" t="s">
        <v>228</v>
      </c>
      <c r="D130" s="13" t="s">
        <v>272</v>
      </c>
      <c r="E130" s="48">
        <f>(17*3)*76.24</f>
        <v>3888.24</v>
      </c>
    </row>
    <row r="131" spans="1:5" s="26" customFormat="1" ht="24" outlineLevel="1" x14ac:dyDescent="0.2">
      <c r="A131" s="30"/>
      <c r="B131" s="14"/>
      <c r="C131" s="15" t="s">
        <v>309</v>
      </c>
      <c r="D131" s="16" t="s">
        <v>310</v>
      </c>
      <c r="E131" s="49" t="s">
        <v>5</v>
      </c>
    </row>
    <row r="132" spans="1:5" s="26" customFormat="1" ht="25.5" x14ac:dyDescent="0.2">
      <c r="A132" s="29">
        <v>31</v>
      </c>
      <c r="B132" s="24" t="s">
        <v>229</v>
      </c>
      <c r="C132" s="12" t="s">
        <v>230</v>
      </c>
      <c r="D132" s="13" t="s">
        <v>273</v>
      </c>
      <c r="E132" s="48">
        <f>(18*3)*76.24</f>
        <v>4116.96</v>
      </c>
    </row>
    <row r="133" spans="1:5" s="26" customFormat="1" ht="24" outlineLevel="1" x14ac:dyDescent="0.2">
      <c r="A133" s="30"/>
      <c r="B133" s="14"/>
      <c r="C133" s="15" t="s">
        <v>309</v>
      </c>
      <c r="D133" s="16" t="s">
        <v>310</v>
      </c>
      <c r="E133" s="49" t="s">
        <v>5</v>
      </c>
    </row>
    <row r="134" spans="1:5" s="26" customFormat="1" ht="38.25" x14ac:dyDescent="0.2">
      <c r="A134" s="29">
        <v>32</v>
      </c>
      <c r="B134" s="24" t="s">
        <v>231</v>
      </c>
      <c r="C134" s="12" t="s">
        <v>232</v>
      </c>
      <c r="D134" s="13" t="s">
        <v>274</v>
      </c>
      <c r="E134" s="48">
        <f>(49*3)*76.24</f>
        <v>11207.279999999999</v>
      </c>
    </row>
    <row r="135" spans="1:5" s="26" customFormat="1" ht="24" outlineLevel="1" x14ac:dyDescent="0.2">
      <c r="A135" s="30"/>
      <c r="B135" s="14"/>
      <c r="C135" s="15" t="s">
        <v>309</v>
      </c>
      <c r="D135" s="16" t="s">
        <v>310</v>
      </c>
      <c r="E135" s="49" t="s">
        <v>5</v>
      </c>
    </row>
    <row r="136" spans="1:5" s="26" customFormat="1" ht="25.5" x14ac:dyDescent="0.2">
      <c r="A136" s="29">
        <v>33</v>
      </c>
      <c r="B136" s="24" t="s">
        <v>233</v>
      </c>
      <c r="C136" s="12" t="s">
        <v>234</v>
      </c>
      <c r="D136" s="13" t="s">
        <v>275</v>
      </c>
      <c r="E136" s="48">
        <f>(5*3)*76.24</f>
        <v>1143.5999999999999</v>
      </c>
    </row>
    <row r="137" spans="1:5" s="26" customFormat="1" ht="24" outlineLevel="1" x14ac:dyDescent="0.2">
      <c r="A137" s="30"/>
      <c r="B137" s="14"/>
      <c r="C137" s="15" t="s">
        <v>309</v>
      </c>
      <c r="D137" s="16" t="s">
        <v>310</v>
      </c>
      <c r="E137" s="49" t="s">
        <v>5</v>
      </c>
    </row>
    <row r="138" spans="1:5" s="26" customFormat="1" ht="38.25" x14ac:dyDescent="0.2">
      <c r="A138" s="29">
        <v>34</v>
      </c>
      <c r="B138" s="24" t="s">
        <v>235</v>
      </c>
      <c r="C138" s="12" t="s">
        <v>236</v>
      </c>
      <c r="D138" s="13" t="s">
        <v>276</v>
      </c>
      <c r="E138" s="48">
        <f>(29*3)*76.24</f>
        <v>6632.8799999999992</v>
      </c>
    </row>
    <row r="139" spans="1:5" s="26" customFormat="1" ht="24" outlineLevel="1" x14ac:dyDescent="0.2">
      <c r="A139" s="30"/>
      <c r="B139" s="14"/>
      <c r="C139" s="15" t="s">
        <v>309</v>
      </c>
      <c r="D139" s="16" t="s">
        <v>310</v>
      </c>
      <c r="E139" s="49" t="s">
        <v>5</v>
      </c>
    </row>
    <row r="140" spans="1:5" s="26" customFormat="1" ht="25.5" x14ac:dyDescent="0.2">
      <c r="A140" s="29">
        <v>35</v>
      </c>
      <c r="B140" s="24" t="s">
        <v>237</v>
      </c>
      <c r="C140" s="12" t="s">
        <v>238</v>
      </c>
      <c r="D140" s="13" t="s">
        <v>277</v>
      </c>
      <c r="E140" s="48">
        <f>(11*3)*76.24</f>
        <v>2515.9199999999996</v>
      </c>
    </row>
    <row r="141" spans="1:5" s="26" customFormat="1" ht="24" outlineLevel="1" x14ac:dyDescent="0.2">
      <c r="A141" s="30"/>
      <c r="B141" s="14"/>
      <c r="C141" s="15" t="s">
        <v>309</v>
      </c>
      <c r="D141" s="16" t="s">
        <v>310</v>
      </c>
      <c r="E141" s="49" t="s">
        <v>5</v>
      </c>
    </row>
    <row r="142" spans="1:5" s="26" customFormat="1" ht="20.45" customHeight="1" x14ac:dyDescent="0.2">
      <c r="A142" s="22"/>
      <c r="B142" s="38" t="s">
        <v>239</v>
      </c>
      <c r="C142" s="39"/>
      <c r="D142" s="39"/>
      <c r="E142" s="39"/>
    </row>
    <row r="143" spans="1:5" s="26" customFormat="1" ht="25.5" x14ac:dyDescent="0.2">
      <c r="A143" s="29">
        <v>36</v>
      </c>
      <c r="B143" s="24" t="s">
        <v>240</v>
      </c>
      <c r="C143" s="12" t="s">
        <v>241</v>
      </c>
      <c r="D143" s="13" t="s">
        <v>278</v>
      </c>
      <c r="E143" s="48">
        <f>(4*3)*76.24</f>
        <v>914.87999999999988</v>
      </c>
    </row>
    <row r="144" spans="1:5" s="26" customFormat="1" ht="24" outlineLevel="1" x14ac:dyDescent="0.2">
      <c r="A144" s="30"/>
      <c r="B144" s="14"/>
      <c r="C144" s="15" t="s">
        <v>309</v>
      </c>
      <c r="D144" s="16" t="s">
        <v>310</v>
      </c>
      <c r="E144" s="49" t="s">
        <v>5</v>
      </c>
    </row>
    <row r="145" spans="1:5" s="26" customFormat="1" ht="25.5" x14ac:dyDescent="0.2">
      <c r="A145" s="29">
        <v>37</v>
      </c>
      <c r="B145" s="24" t="s">
        <v>242</v>
      </c>
      <c r="C145" s="12" t="s">
        <v>243</v>
      </c>
      <c r="D145" s="13" t="s">
        <v>279</v>
      </c>
      <c r="E145" s="48">
        <f>(13*3)*76.24</f>
        <v>2973.3599999999997</v>
      </c>
    </row>
    <row r="146" spans="1:5" s="26" customFormat="1" ht="24" outlineLevel="1" x14ac:dyDescent="0.2">
      <c r="A146" s="30"/>
      <c r="B146" s="14"/>
      <c r="C146" s="15" t="s">
        <v>309</v>
      </c>
      <c r="D146" s="16" t="s">
        <v>310</v>
      </c>
      <c r="E146" s="49" t="s">
        <v>5</v>
      </c>
    </row>
    <row r="147" spans="1:5" s="26" customFormat="1" ht="38.25" x14ac:dyDescent="0.2">
      <c r="A147" s="29">
        <v>38</v>
      </c>
      <c r="B147" s="24" t="s">
        <v>244</v>
      </c>
      <c r="C147" s="12" t="s">
        <v>245</v>
      </c>
      <c r="D147" s="13" t="s">
        <v>280</v>
      </c>
      <c r="E147" s="48">
        <f>(235*3)*76.24</f>
        <v>53749.2</v>
      </c>
    </row>
    <row r="148" spans="1:5" s="26" customFormat="1" ht="24" outlineLevel="1" x14ac:dyDescent="0.2">
      <c r="A148" s="30"/>
      <c r="B148" s="14"/>
      <c r="C148" s="15" t="s">
        <v>309</v>
      </c>
      <c r="D148" s="16" t="s">
        <v>310</v>
      </c>
      <c r="E148" s="49" t="s">
        <v>5</v>
      </c>
    </row>
    <row r="149" spans="1:5" ht="20.45" customHeight="1" x14ac:dyDescent="0.2">
      <c r="A149" s="23"/>
      <c r="B149" s="38" t="s">
        <v>178</v>
      </c>
      <c r="C149" s="39"/>
      <c r="D149" s="39"/>
      <c r="E149" s="39"/>
    </row>
    <row r="150" spans="1:5" ht="25.5" x14ac:dyDescent="0.2">
      <c r="A150" s="23">
        <v>39</v>
      </c>
      <c r="B150" s="24" t="s">
        <v>45</v>
      </c>
      <c r="C150" s="12" t="s">
        <v>46</v>
      </c>
      <c r="D150" s="13" t="s">
        <v>283</v>
      </c>
      <c r="E150" s="48">
        <f>110*3*76.24</f>
        <v>25159.199999999997</v>
      </c>
    </row>
    <row r="151" spans="1:5" ht="24" outlineLevel="1" x14ac:dyDescent="0.2">
      <c r="A151" s="23"/>
      <c r="B151" s="14"/>
      <c r="C151" s="15" t="s">
        <v>309</v>
      </c>
      <c r="D151" s="16" t="s">
        <v>310</v>
      </c>
      <c r="E151" s="49" t="s">
        <v>5</v>
      </c>
    </row>
    <row r="152" spans="1:5" ht="51" x14ac:dyDescent="0.2">
      <c r="A152" s="23">
        <v>40</v>
      </c>
      <c r="B152" s="24" t="s">
        <v>146</v>
      </c>
      <c r="C152" s="12" t="s">
        <v>47</v>
      </c>
      <c r="D152" s="13" t="s">
        <v>282</v>
      </c>
      <c r="E152" s="48">
        <f>185*3*76.24</f>
        <v>42313.2</v>
      </c>
    </row>
    <row r="153" spans="1:5" ht="24" outlineLevel="1" x14ac:dyDescent="0.2">
      <c r="A153" s="23"/>
      <c r="B153" s="14"/>
      <c r="C153" s="15" t="s">
        <v>309</v>
      </c>
      <c r="D153" s="16" t="s">
        <v>310</v>
      </c>
      <c r="E153" s="49" t="s">
        <v>5</v>
      </c>
    </row>
    <row r="154" spans="1:5" ht="63.75" x14ac:dyDescent="0.2">
      <c r="A154" s="23">
        <v>41</v>
      </c>
      <c r="B154" s="24" t="s">
        <v>48</v>
      </c>
      <c r="C154" s="12" t="s">
        <v>49</v>
      </c>
      <c r="D154" s="13" t="s">
        <v>281</v>
      </c>
      <c r="E154" s="48">
        <f>600*2*76.24</f>
        <v>91488</v>
      </c>
    </row>
    <row r="155" spans="1:5" ht="24" outlineLevel="1" x14ac:dyDescent="0.2">
      <c r="A155" s="23"/>
      <c r="B155" s="14"/>
      <c r="C155" s="15" t="s">
        <v>309</v>
      </c>
      <c r="D155" s="16" t="s">
        <v>310</v>
      </c>
      <c r="E155" s="49" t="s">
        <v>5</v>
      </c>
    </row>
    <row r="156" spans="1:5" ht="36" customHeight="1" x14ac:dyDescent="0.2">
      <c r="A156" s="22"/>
      <c r="B156" s="40" t="s">
        <v>110</v>
      </c>
      <c r="C156" s="41"/>
      <c r="D156" s="41"/>
      <c r="E156" s="50">
        <f>E154+E152+E150+E147+E145+E143+E140+E138+E136+E134+E132+E130+E128+E125+E123+E121+E119+E115+E112+E110+E107+E102+E100+E98+E91+E85+E79+E73+E67+E61+E54+E48+E39+E37+E34+E31+E26</f>
        <v>1706524.8045439997</v>
      </c>
    </row>
    <row r="157" spans="1:5" ht="20.45" customHeight="1" x14ac:dyDescent="0.2">
      <c r="A157" s="36" t="s">
        <v>102</v>
      </c>
      <c r="B157" s="37"/>
      <c r="C157" s="37"/>
      <c r="D157" s="37"/>
      <c r="E157" s="37"/>
    </row>
    <row r="158" spans="1:5" ht="66" customHeight="1" x14ac:dyDescent="0.2">
      <c r="A158" s="22"/>
      <c r="B158" s="38" t="s">
        <v>322</v>
      </c>
      <c r="C158" s="39"/>
      <c r="D158" s="39"/>
      <c r="E158" s="39"/>
    </row>
    <row r="159" spans="1:5" ht="17.25" customHeight="1" x14ac:dyDescent="0.2">
      <c r="A159" s="31" t="s">
        <v>165</v>
      </c>
      <c r="B159" s="32"/>
      <c r="C159" s="32"/>
      <c r="D159" s="32"/>
      <c r="E159" s="32"/>
    </row>
    <row r="160" spans="1:5" ht="51" x14ac:dyDescent="0.2">
      <c r="A160" s="29">
        <v>42</v>
      </c>
      <c r="B160" s="27" t="s">
        <v>327</v>
      </c>
      <c r="C160" s="12" t="s">
        <v>328</v>
      </c>
      <c r="D160" s="13" t="s">
        <v>329</v>
      </c>
      <c r="E160" s="48">
        <f>(200000+6*11628)*1.25*6.7*0.285</f>
        <v>643902.495</v>
      </c>
    </row>
    <row r="161" spans="1:5" ht="36" outlineLevel="1" x14ac:dyDescent="0.2">
      <c r="A161" s="30"/>
      <c r="B161" s="14"/>
      <c r="C161" s="15" t="s">
        <v>50</v>
      </c>
      <c r="D161" s="16" t="s">
        <v>51</v>
      </c>
      <c r="E161" s="49" t="s">
        <v>5</v>
      </c>
    </row>
    <row r="162" spans="1:5" ht="24" outlineLevel="1" x14ac:dyDescent="0.2">
      <c r="A162" s="30"/>
      <c r="B162" s="14"/>
      <c r="C162" s="15" t="s">
        <v>309</v>
      </c>
      <c r="D162" s="16" t="s">
        <v>314</v>
      </c>
      <c r="E162" s="49" t="s">
        <v>5</v>
      </c>
    </row>
    <row r="163" spans="1:5" ht="20.25" customHeight="1" outlineLevel="1" x14ac:dyDescent="0.2">
      <c r="A163" s="30"/>
      <c r="B163" s="14"/>
      <c r="C163" s="15" t="s">
        <v>154</v>
      </c>
      <c r="D163" s="16" t="s">
        <v>152</v>
      </c>
      <c r="E163" s="49"/>
    </row>
    <row r="164" spans="1:5" ht="32.25" customHeight="1" outlineLevel="1" x14ac:dyDescent="0.2">
      <c r="A164" s="30"/>
      <c r="B164" s="14"/>
      <c r="C164" s="15" t="s">
        <v>153</v>
      </c>
      <c r="D164" s="16" t="s">
        <v>158</v>
      </c>
      <c r="E164" s="49"/>
    </row>
    <row r="165" spans="1:5" ht="30" customHeight="1" outlineLevel="1" x14ac:dyDescent="0.2">
      <c r="A165" s="30"/>
      <c r="B165" s="14"/>
      <c r="C165" s="15" t="s">
        <v>155</v>
      </c>
      <c r="D165" s="16" t="s">
        <v>159</v>
      </c>
      <c r="E165" s="49"/>
    </row>
    <row r="166" spans="1:5" ht="32.25" customHeight="1" outlineLevel="1" x14ac:dyDescent="0.2">
      <c r="A166" s="30"/>
      <c r="B166" s="14"/>
      <c r="C166" s="15" t="s">
        <v>160</v>
      </c>
      <c r="D166" s="16" t="s">
        <v>162</v>
      </c>
      <c r="E166" s="49"/>
    </row>
    <row r="167" spans="1:5" ht="32.25" customHeight="1" outlineLevel="1" x14ac:dyDescent="0.2">
      <c r="A167" s="30"/>
      <c r="B167" s="14"/>
      <c r="C167" s="15" t="s">
        <v>161</v>
      </c>
      <c r="D167" s="16" t="s">
        <v>163</v>
      </c>
      <c r="E167" s="49"/>
    </row>
    <row r="168" spans="1:5" outlineLevel="1" x14ac:dyDescent="0.2">
      <c r="A168" s="30"/>
      <c r="B168" s="14"/>
      <c r="C168" s="15" t="s">
        <v>16</v>
      </c>
      <c r="D168" s="16" t="s">
        <v>164</v>
      </c>
      <c r="E168" s="49"/>
    </row>
    <row r="169" spans="1:5" ht="38.25" x14ac:dyDescent="0.2">
      <c r="A169" s="30"/>
      <c r="B169" s="28" t="s">
        <v>327</v>
      </c>
      <c r="C169" s="12" t="s">
        <v>156</v>
      </c>
      <c r="D169" s="13" t="s">
        <v>330</v>
      </c>
      <c r="E169" s="48">
        <f>E160*0.04</f>
        <v>25756.0998</v>
      </c>
    </row>
    <row r="170" spans="1:5" ht="51" x14ac:dyDescent="0.2">
      <c r="A170" s="30"/>
      <c r="B170" s="28" t="s">
        <v>327</v>
      </c>
      <c r="C170" s="12" t="s">
        <v>157</v>
      </c>
      <c r="D170" s="13" t="s">
        <v>331</v>
      </c>
      <c r="E170" s="48">
        <f>E160*0.05</f>
        <v>32195.124750000003</v>
      </c>
    </row>
    <row r="171" spans="1:5" ht="15" x14ac:dyDescent="0.2">
      <c r="A171" s="17"/>
      <c r="B171" s="42" t="s">
        <v>87</v>
      </c>
      <c r="C171" s="43"/>
      <c r="D171" s="43"/>
      <c r="E171" s="51">
        <f>E160+E169+E170</f>
        <v>701853.71954999992</v>
      </c>
    </row>
    <row r="172" spans="1:5" ht="20.45" customHeight="1" x14ac:dyDescent="0.2">
      <c r="A172" s="31" t="s">
        <v>166</v>
      </c>
      <c r="B172" s="32"/>
      <c r="C172" s="32"/>
      <c r="D172" s="32"/>
      <c r="E172" s="32"/>
    </row>
    <row r="173" spans="1:5" ht="51" x14ac:dyDescent="0.2">
      <c r="A173" s="29">
        <v>43</v>
      </c>
      <c r="B173" s="24" t="s">
        <v>52</v>
      </c>
      <c r="C173" s="12" t="s">
        <v>53</v>
      </c>
      <c r="D173" s="13" t="s">
        <v>308</v>
      </c>
      <c r="E173" s="48">
        <f>580*0.25*76.24</f>
        <v>11054.8</v>
      </c>
    </row>
    <row r="174" spans="1:5" ht="24" outlineLevel="1" x14ac:dyDescent="0.2">
      <c r="A174" s="30"/>
      <c r="B174" s="14"/>
      <c r="C174" s="15" t="s">
        <v>309</v>
      </c>
      <c r="D174" s="16" t="s">
        <v>310</v>
      </c>
      <c r="E174" s="49" t="s">
        <v>5</v>
      </c>
    </row>
    <row r="175" spans="1:5" ht="20.45" customHeight="1" x14ac:dyDescent="0.2">
      <c r="A175" s="22"/>
      <c r="B175" s="38" t="s">
        <v>54</v>
      </c>
      <c r="C175" s="39"/>
      <c r="D175" s="39"/>
      <c r="E175" s="39"/>
    </row>
    <row r="176" spans="1:5" ht="38.25" x14ac:dyDescent="0.2">
      <c r="A176" s="29">
        <v>44</v>
      </c>
      <c r="B176" s="24" t="s">
        <v>168</v>
      </c>
      <c r="C176" s="12" t="s">
        <v>167</v>
      </c>
      <c r="D176" s="13" t="s">
        <v>288</v>
      </c>
      <c r="E176" s="48">
        <f>76.24*1270</f>
        <v>96824.799999999988</v>
      </c>
    </row>
    <row r="177" spans="1:5" ht="24" outlineLevel="1" x14ac:dyDescent="0.2">
      <c r="A177" s="30"/>
      <c r="B177" s="14"/>
      <c r="C177" s="15" t="s">
        <v>309</v>
      </c>
      <c r="D177" s="16" t="s">
        <v>310</v>
      </c>
      <c r="E177" s="49" t="s">
        <v>5</v>
      </c>
    </row>
    <row r="178" spans="1:5" ht="20.45" customHeight="1" x14ac:dyDescent="0.2">
      <c r="A178" s="22"/>
      <c r="B178" s="38" t="s">
        <v>104</v>
      </c>
      <c r="C178" s="39"/>
      <c r="D178" s="39"/>
      <c r="E178" s="39"/>
    </row>
    <row r="179" spans="1:5" ht="25.5" x14ac:dyDescent="0.2">
      <c r="A179" s="29">
        <v>45</v>
      </c>
      <c r="B179" s="24" t="s">
        <v>172</v>
      </c>
      <c r="C179" s="12" t="s">
        <v>55</v>
      </c>
      <c r="D179" s="13" t="s">
        <v>287</v>
      </c>
      <c r="E179" s="48">
        <f>10*146*76.24</f>
        <v>111310.39999999999</v>
      </c>
    </row>
    <row r="180" spans="1:5" ht="24" outlineLevel="1" x14ac:dyDescent="0.2">
      <c r="A180" s="30"/>
      <c r="B180" s="14"/>
      <c r="C180" s="15" t="s">
        <v>309</v>
      </c>
      <c r="D180" s="16" t="s">
        <v>310</v>
      </c>
      <c r="E180" s="49" t="s">
        <v>5</v>
      </c>
    </row>
    <row r="181" spans="1:5" ht="20.45" customHeight="1" x14ac:dyDescent="0.2">
      <c r="A181" s="22"/>
      <c r="B181" s="38" t="s">
        <v>84</v>
      </c>
      <c r="C181" s="39"/>
      <c r="D181" s="39"/>
      <c r="E181" s="39"/>
    </row>
    <row r="182" spans="1:5" ht="38.25" x14ac:dyDescent="0.2">
      <c r="A182" s="29">
        <v>46</v>
      </c>
      <c r="B182" s="24" t="s">
        <v>56</v>
      </c>
      <c r="C182" s="12" t="s">
        <v>57</v>
      </c>
      <c r="D182" s="13" t="s">
        <v>286</v>
      </c>
      <c r="E182" s="48">
        <f>210*2*76.24</f>
        <v>32020.799999999999</v>
      </c>
    </row>
    <row r="183" spans="1:5" ht="24" outlineLevel="1" x14ac:dyDescent="0.2">
      <c r="A183" s="30"/>
      <c r="B183" s="14"/>
      <c r="C183" s="15" t="s">
        <v>309</v>
      </c>
      <c r="D183" s="16" t="s">
        <v>310</v>
      </c>
      <c r="E183" s="49" t="s">
        <v>5</v>
      </c>
    </row>
    <row r="184" spans="1:5" ht="38.25" x14ac:dyDescent="0.2">
      <c r="A184" s="29">
        <v>47</v>
      </c>
      <c r="B184" s="24" t="s">
        <v>132</v>
      </c>
      <c r="C184" s="12" t="s">
        <v>133</v>
      </c>
      <c r="D184" s="13" t="s">
        <v>285</v>
      </c>
      <c r="E184" s="48">
        <f>200*12*76.24</f>
        <v>182976</v>
      </c>
    </row>
    <row r="185" spans="1:5" ht="24" outlineLevel="1" x14ac:dyDescent="0.2">
      <c r="A185" s="30"/>
      <c r="B185" s="14"/>
      <c r="C185" s="15" t="s">
        <v>309</v>
      </c>
      <c r="D185" s="16" t="s">
        <v>310</v>
      </c>
      <c r="E185" s="49" t="s">
        <v>5</v>
      </c>
    </row>
    <row r="186" spans="1:5" ht="63.75" x14ac:dyDescent="0.2">
      <c r="A186" s="29">
        <v>48</v>
      </c>
      <c r="B186" s="24" t="s">
        <v>60</v>
      </c>
      <c r="C186" s="12" t="s">
        <v>49</v>
      </c>
      <c r="D186" s="13" t="s">
        <v>284</v>
      </c>
      <c r="E186" s="48">
        <f>600*0.4*76.24</f>
        <v>18297.599999999999</v>
      </c>
    </row>
    <row r="187" spans="1:5" ht="24" outlineLevel="1" x14ac:dyDescent="0.2">
      <c r="A187" s="30"/>
      <c r="B187" s="14"/>
      <c r="C187" s="15" t="s">
        <v>309</v>
      </c>
      <c r="D187" s="16" t="s">
        <v>310</v>
      </c>
      <c r="E187" s="49" t="s">
        <v>5</v>
      </c>
    </row>
    <row r="188" spans="1:5" ht="15" x14ac:dyDescent="0.2">
      <c r="A188" s="17"/>
      <c r="B188" s="42" t="s">
        <v>109</v>
      </c>
      <c r="C188" s="43"/>
      <c r="D188" s="43"/>
      <c r="E188" s="51">
        <f>E173+E176+E179+E182+E184+E186</f>
        <v>452484.39999999997</v>
      </c>
    </row>
    <row r="189" spans="1:5" ht="20.45" customHeight="1" x14ac:dyDescent="0.2">
      <c r="A189" s="31" t="s">
        <v>105</v>
      </c>
      <c r="B189" s="32"/>
      <c r="C189" s="32"/>
      <c r="D189" s="32"/>
      <c r="E189" s="32"/>
    </row>
    <row r="190" spans="1:5" ht="51" x14ac:dyDescent="0.2">
      <c r="A190" s="29">
        <v>49</v>
      </c>
      <c r="B190" s="24" t="s">
        <v>62</v>
      </c>
      <c r="C190" s="12" t="s">
        <v>63</v>
      </c>
      <c r="D190" s="13" t="s">
        <v>293</v>
      </c>
      <c r="E190" s="48">
        <f>199*76.24</f>
        <v>15171.759999999998</v>
      </c>
    </row>
    <row r="191" spans="1:5" ht="24" outlineLevel="1" x14ac:dyDescent="0.2">
      <c r="A191" s="30"/>
      <c r="B191" s="14"/>
      <c r="C191" s="15" t="s">
        <v>309</v>
      </c>
      <c r="D191" s="16" t="s">
        <v>310</v>
      </c>
      <c r="E191" s="49" t="s">
        <v>5</v>
      </c>
    </row>
    <row r="192" spans="1:5" ht="38.25" x14ac:dyDescent="0.2">
      <c r="A192" s="29">
        <v>50</v>
      </c>
      <c r="B192" s="24" t="s">
        <v>66</v>
      </c>
      <c r="C192" s="12" t="s">
        <v>67</v>
      </c>
      <c r="D192" s="13" t="s">
        <v>292</v>
      </c>
      <c r="E192" s="48">
        <f>168*76.24</f>
        <v>12808.32</v>
      </c>
    </row>
    <row r="193" spans="1:5" ht="24" outlineLevel="1" x14ac:dyDescent="0.2">
      <c r="A193" s="30"/>
      <c r="B193" s="14"/>
      <c r="C193" s="15" t="s">
        <v>309</v>
      </c>
      <c r="D193" s="16" t="s">
        <v>310</v>
      </c>
      <c r="E193" s="49" t="s">
        <v>5</v>
      </c>
    </row>
    <row r="194" spans="1:5" ht="63.75" x14ac:dyDescent="0.2">
      <c r="A194" s="29">
        <v>51</v>
      </c>
      <c r="B194" s="24" t="s">
        <v>64</v>
      </c>
      <c r="C194" s="12" t="s">
        <v>65</v>
      </c>
      <c r="D194" s="13" t="s">
        <v>291</v>
      </c>
      <c r="E194" s="48">
        <f>276*76.24</f>
        <v>21042.239999999998</v>
      </c>
    </row>
    <row r="195" spans="1:5" ht="24" outlineLevel="1" x14ac:dyDescent="0.2">
      <c r="A195" s="30"/>
      <c r="B195" s="14"/>
      <c r="C195" s="15" t="s">
        <v>309</v>
      </c>
      <c r="D195" s="16" t="s">
        <v>310</v>
      </c>
      <c r="E195" s="49" t="s">
        <v>5</v>
      </c>
    </row>
    <row r="196" spans="1:5" ht="38.25" x14ac:dyDescent="0.2">
      <c r="A196" s="29">
        <v>52</v>
      </c>
      <c r="B196" s="24" t="s">
        <v>95</v>
      </c>
      <c r="C196" s="12" t="s">
        <v>94</v>
      </c>
      <c r="D196" s="13" t="s">
        <v>290</v>
      </c>
      <c r="E196" s="48">
        <f>480*76.24</f>
        <v>36595.199999999997</v>
      </c>
    </row>
    <row r="197" spans="1:5" ht="24" outlineLevel="1" x14ac:dyDescent="0.2">
      <c r="A197" s="30"/>
      <c r="B197" s="14"/>
      <c r="C197" s="15" t="s">
        <v>309</v>
      </c>
      <c r="D197" s="16" t="s">
        <v>310</v>
      </c>
      <c r="E197" s="49" t="s">
        <v>5</v>
      </c>
    </row>
    <row r="198" spans="1:5" ht="51" x14ac:dyDescent="0.2">
      <c r="A198" s="29">
        <v>53</v>
      </c>
      <c r="B198" s="24" t="s">
        <v>61</v>
      </c>
      <c r="C198" s="12" t="s">
        <v>53</v>
      </c>
      <c r="D198" s="13" t="s">
        <v>289</v>
      </c>
      <c r="E198" s="48">
        <f>4*580*76.24</f>
        <v>176876.79999999999</v>
      </c>
    </row>
    <row r="199" spans="1:5" ht="24" outlineLevel="1" x14ac:dyDescent="0.2">
      <c r="A199" s="30"/>
      <c r="B199" s="14"/>
      <c r="C199" s="15" t="s">
        <v>309</v>
      </c>
      <c r="D199" s="16" t="s">
        <v>310</v>
      </c>
      <c r="E199" s="49" t="s">
        <v>5</v>
      </c>
    </row>
    <row r="200" spans="1:5" ht="63.75" x14ac:dyDescent="0.2">
      <c r="A200" s="29">
        <v>54</v>
      </c>
      <c r="B200" s="24" t="s">
        <v>96</v>
      </c>
      <c r="C200" s="12" t="s">
        <v>18</v>
      </c>
      <c r="D200" s="13" t="s">
        <v>294</v>
      </c>
      <c r="E200" s="48">
        <f>78*76.24</f>
        <v>5946.7199999999993</v>
      </c>
    </row>
    <row r="201" spans="1:5" ht="24" outlineLevel="1" x14ac:dyDescent="0.2">
      <c r="A201" s="30"/>
      <c r="B201" s="14"/>
      <c r="C201" s="15" t="s">
        <v>309</v>
      </c>
      <c r="D201" s="16" t="s">
        <v>310</v>
      </c>
      <c r="E201" s="49" t="s">
        <v>5</v>
      </c>
    </row>
    <row r="202" spans="1:5" ht="15" x14ac:dyDescent="0.2">
      <c r="A202" s="17"/>
      <c r="B202" s="42" t="s">
        <v>108</v>
      </c>
      <c r="C202" s="43"/>
      <c r="D202" s="43"/>
      <c r="E202" s="51">
        <f>E200+E198+E196+E194+E192+E190</f>
        <v>268441.03999999998</v>
      </c>
    </row>
    <row r="203" spans="1:5" ht="20.45" customHeight="1" x14ac:dyDescent="0.2">
      <c r="A203" s="31" t="s">
        <v>82</v>
      </c>
      <c r="B203" s="32"/>
      <c r="C203" s="32"/>
      <c r="D203" s="32"/>
      <c r="E203" s="32"/>
    </row>
    <row r="204" spans="1:5" ht="63.75" x14ac:dyDescent="0.2">
      <c r="A204" s="29">
        <v>55</v>
      </c>
      <c r="B204" s="24" t="s">
        <v>83</v>
      </c>
      <c r="C204" s="12" t="s">
        <v>49</v>
      </c>
      <c r="D204" s="13" t="s">
        <v>295</v>
      </c>
      <c r="E204" s="48">
        <f>600*76.24</f>
        <v>45744</v>
      </c>
    </row>
    <row r="205" spans="1:5" ht="24" outlineLevel="1" x14ac:dyDescent="0.2">
      <c r="A205" s="30"/>
      <c r="B205" s="14"/>
      <c r="C205" s="15" t="s">
        <v>309</v>
      </c>
      <c r="D205" s="16" t="s">
        <v>310</v>
      </c>
      <c r="E205" s="49" t="s">
        <v>5</v>
      </c>
    </row>
    <row r="206" spans="1:5" ht="20.45" customHeight="1" x14ac:dyDescent="0.2">
      <c r="A206" s="22"/>
      <c r="B206" s="38" t="s">
        <v>169</v>
      </c>
      <c r="C206" s="39"/>
      <c r="D206" s="39"/>
      <c r="E206" s="39"/>
    </row>
    <row r="207" spans="1:5" ht="25.5" x14ac:dyDescent="0.2">
      <c r="A207" s="29">
        <v>56</v>
      </c>
      <c r="B207" s="24" t="s">
        <v>173</v>
      </c>
      <c r="C207" s="12" t="s">
        <v>55</v>
      </c>
      <c r="D207" s="13" t="s">
        <v>296</v>
      </c>
      <c r="E207" s="48">
        <f>145*74.38*10</f>
        <v>107850.99999999999</v>
      </c>
    </row>
    <row r="208" spans="1:5" ht="24" outlineLevel="1" x14ac:dyDescent="0.2">
      <c r="A208" s="30"/>
      <c r="B208" s="14"/>
      <c r="C208" s="15" t="s">
        <v>309</v>
      </c>
      <c r="D208" s="16" t="s">
        <v>310</v>
      </c>
      <c r="E208" s="49" t="s">
        <v>5</v>
      </c>
    </row>
    <row r="209" spans="1:5" ht="20.45" customHeight="1" x14ac:dyDescent="0.2">
      <c r="A209" s="22"/>
      <c r="B209" s="38" t="s">
        <v>84</v>
      </c>
      <c r="C209" s="39"/>
      <c r="D209" s="39"/>
      <c r="E209" s="39"/>
    </row>
    <row r="210" spans="1:5" ht="20.45" customHeight="1" x14ac:dyDescent="0.2">
      <c r="A210" s="22"/>
      <c r="B210" s="38" t="s">
        <v>171</v>
      </c>
      <c r="C210" s="39"/>
      <c r="D210" s="39"/>
      <c r="E210" s="39"/>
    </row>
    <row r="211" spans="1:5" ht="38.25" x14ac:dyDescent="0.2">
      <c r="A211" s="29">
        <v>57</v>
      </c>
      <c r="B211" s="24" t="s">
        <v>170</v>
      </c>
      <c r="C211" s="12" t="s">
        <v>85</v>
      </c>
      <c r="D211" s="13" t="s">
        <v>297</v>
      </c>
      <c r="E211" s="48">
        <f>130*10*1.3*76.24</f>
        <v>128845.59999999999</v>
      </c>
    </row>
    <row r="212" spans="1:5" ht="60" outlineLevel="1" x14ac:dyDescent="0.2">
      <c r="A212" s="30"/>
      <c r="B212" s="14"/>
      <c r="C212" s="15" t="s">
        <v>58</v>
      </c>
      <c r="D212" s="16" t="s">
        <v>59</v>
      </c>
      <c r="E212" s="49" t="s">
        <v>5</v>
      </c>
    </row>
    <row r="213" spans="1:5" ht="24" outlineLevel="1" x14ac:dyDescent="0.2">
      <c r="A213" s="30"/>
      <c r="B213" s="14"/>
      <c r="C213" s="15" t="s">
        <v>309</v>
      </c>
      <c r="D213" s="16" t="s">
        <v>310</v>
      </c>
      <c r="E213" s="49" t="s">
        <v>5</v>
      </c>
    </row>
    <row r="214" spans="1:5" ht="38.25" x14ac:dyDescent="0.2">
      <c r="A214" s="29">
        <v>58</v>
      </c>
      <c r="B214" s="24" t="s">
        <v>129</v>
      </c>
      <c r="C214" s="12" t="s">
        <v>128</v>
      </c>
      <c r="D214" s="13" t="s">
        <v>298</v>
      </c>
      <c r="E214" s="48">
        <f>5*80*1.3*76.24</f>
        <v>39644.799999999996</v>
      </c>
    </row>
    <row r="215" spans="1:5" ht="60" outlineLevel="1" x14ac:dyDescent="0.2">
      <c r="A215" s="30"/>
      <c r="B215" s="14"/>
      <c r="C215" s="15" t="s">
        <v>58</v>
      </c>
      <c r="D215" s="16" t="s">
        <v>59</v>
      </c>
      <c r="E215" s="49" t="s">
        <v>5</v>
      </c>
    </row>
    <row r="216" spans="1:5" ht="24" outlineLevel="1" x14ac:dyDescent="0.2">
      <c r="A216" s="30"/>
      <c r="B216" s="14"/>
      <c r="C216" s="15" t="s">
        <v>309</v>
      </c>
      <c r="D216" s="16" t="s">
        <v>310</v>
      </c>
      <c r="E216" s="49" t="s">
        <v>5</v>
      </c>
    </row>
    <row r="217" spans="1:5" ht="38.25" x14ac:dyDescent="0.2">
      <c r="A217" s="29">
        <v>59</v>
      </c>
      <c r="B217" s="24" t="s">
        <v>130</v>
      </c>
      <c r="C217" s="12" t="s">
        <v>131</v>
      </c>
      <c r="D217" s="13" t="s">
        <v>299</v>
      </c>
      <c r="E217" s="48">
        <f>200*10*76.24</f>
        <v>152480</v>
      </c>
    </row>
    <row r="218" spans="1:5" ht="24" outlineLevel="1" x14ac:dyDescent="0.2">
      <c r="A218" s="30"/>
      <c r="B218" s="14"/>
      <c r="C218" s="15" t="s">
        <v>309</v>
      </c>
      <c r="D218" s="16" t="s">
        <v>310</v>
      </c>
      <c r="E218" s="49" t="s">
        <v>5</v>
      </c>
    </row>
    <row r="219" spans="1:5" ht="15" x14ac:dyDescent="0.2">
      <c r="A219" s="22"/>
      <c r="B219" s="42" t="s">
        <v>114</v>
      </c>
      <c r="C219" s="43"/>
      <c r="D219" s="43"/>
      <c r="E219" s="51">
        <f>E217+E214+E211+E207+E204</f>
        <v>474565.39999999997</v>
      </c>
    </row>
    <row r="220" spans="1:5" ht="20.45" customHeight="1" x14ac:dyDescent="0.2">
      <c r="A220" s="31" t="s">
        <v>106</v>
      </c>
      <c r="B220" s="32"/>
      <c r="C220" s="32"/>
      <c r="D220" s="32"/>
      <c r="E220" s="32"/>
    </row>
    <row r="221" spans="1:5" ht="63.75" x14ac:dyDescent="0.2">
      <c r="A221" s="29">
        <v>60</v>
      </c>
      <c r="B221" s="24" t="s">
        <v>68</v>
      </c>
      <c r="C221" s="12" t="s">
        <v>69</v>
      </c>
      <c r="D221" s="13" t="s">
        <v>300</v>
      </c>
      <c r="E221" s="48">
        <f>26.3*12*76.24</f>
        <v>24061.344000000001</v>
      </c>
    </row>
    <row r="222" spans="1:5" ht="24" outlineLevel="1" x14ac:dyDescent="0.2">
      <c r="A222" s="30"/>
      <c r="B222" s="14"/>
      <c r="C222" s="15" t="s">
        <v>309</v>
      </c>
      <c r="D222" s="16" t="s">
        <v>310</v>
      </c>
      <c r="E222" s="49" t="s">
        <v>5</v>
      </c>
    </row>
    <row r="223" spans="1:5" ht="63.75" x14ac:dyDescent="0.2">
      <c r="A223" s="29">
        <v>61</v>
      </c>
      <c r="B223" s="24" t="s">
        <v>174</v>
      </c>
      <c r="C223" s="12" t="s">
        <v>70</v>
      </c>
      <c r="D223" s="13" t="s">
        <v>301</v>
      </c>
      <c r="E223" s="48">
        <f>20.05*12*76.24</f>
        <v>18343.344000000001</v>
      </c>
    </row>
    <row r="224" spans="1:5" ht="24" outlineLevel="1" x14ac:dyDescent="0.2">
      <c r="A224" s="30"/>
      <c r="B224" s="14"/>
      <c r="C224" s="15" t="s">
        <v>309</v>
      </c>
      <c r="D224" s="16" t="s">
        <v>310</v>
      </c>
      <c r="E224" s="49" t="s">
        <v>5</v>
      </c>
    </row>
    <row r="225" spans="1:5" ht="38.25" x14ac:dyDescent="0.2">
      <c r="A225" s="29">
        <v>62</v>
      </c>
      <c r="B225" s="24" t="s">
        <v>71</v>
      </c>
      <c r="C225" s="12" t="s">
        <v>72</v>
      </c>
      <c r="D225" s="13" t="s">
        <v>302</v>
      </c>
      <c r="E225" s="48">
        <f>17.6*12*76.24</f>
        <v>16101.888000000001</v>
      </c>
    </row>
    <row r="226" spans="1:5" ht="24" outlineLevel="1" x14ac:dyDescent="0.2">
      <c r="A226" s="30"/>
      <c r="B226" s="14"/>
      <c r="C226" s="15" t="s">
        <v>309</v>
      </c>
      <c r="D226" s="16" t="s">
        <v>310</v>
      </c>
      <c r="E226" s="49" t="s">
        <v>5</v>
      </c>
    </row>
    <row r="227" spans="1:5" ht="25.5" x14ac:dyDescent="0.2">
      <c r="A227" s="29">
        <v>63</v>
      </c>
      <c r="B227" s="24" t="s">
        <v>73</v>
      </c>
      <c r="C227" s="12" t="s">
        <v>74</v>
      </c>
      <c r="D227" s="13" t="s">
        <v>307</v>
      </c>
      <c r="E227" s="48">
        <f>10.6*3*76.24</f>
        <v>2424.4319999999998</v>
      </c>
    </row>
    <row r="228" spans="1:5" ht="24" outlineLevel="1" x14ac:dyDescent="0.2">
      <c r="A228" s="30"/>
      <c r="B228" s="14"/>
      <c r="C228" s="15" t="s">
        <v>248</v>
      </c>
      <c r="D228" s="16" t="s">
        <v>247</v>
      </c>
      <c r="E228" s="49" t="s">
        <v>5</v>
      </c>
    </row>
    <row r="229" spans="1:5" ht="76.5" x14ac:dyDescent="0.2">
      <c r="A229" s="29">
        <v>64</v>
      </c>
      <c r="B229" s="24" t="s">
        <v>75</v>
      </c>
      <c r="C229" s="12" t="s">
        <v>76</v>
      </c>
      <c r="D229" s="13" t="s">
        <v>303</v>
      </c>
      <c r="E229" s="48">
        <f>1.7*92*76.24</f>
        <v>11923.936</v>
      </c>
    </row>
    <row r="230" spans="1:5" ht="24" outlineLevel="1" x14ac:dyDescent="0.2">
      <c r="A230" s="30"/>
      <c r="B230" s="14"/>
      <c r="C230" s="15" t="s">
        <v>309</v>
      </c>
      <c r="D230" s="16" t="s">
        <v>310</v>
      </c>
      <c r="E230" s="49" t="s">
        <v>5</v>
      </c>
    </row>
    <row r="231" spans="1:5" ht="76.5" x14ac:dyDescent="0.2">
      <c r="A231" s="29">
        <v>65</v>
      </c>
      <c r="B231" s="24" t="s">
        <v>77</v>
      </c>
      <c r="C231" s="12" t="s">
        <v>78</v>
      </c>
      <c r="D231" s="13" t="s">
        <v>304</v>
      </c>
      <c r="E231" s="48">
        <f>1.1*30*76.24</f>
        <v>2515.9199999999996</v>
      </c>
    </row>
    <row r="232" spans="1:5" ht="24" outlineLevel="1" x14ac:dyDescent="0.2">
      <c r="A232" s="30"/>
      <c r="B232" s="14"/>
      <c r="C232" s="15" t="s">
        <v>309</v>
      </c>
      <c r="D232" s="16" t="s">
        <v>310</v>
      </c>
      <c r="E232" s="49" t="s">
        <v>5</v>
      </c>
    </row>
    <row r="233" spans="1:5" ht="51" x14ac:dyDescent="0.2">
      <c r="A233" s="29">
        <v>66</v>
      </c>
      <c r="B233" s="24" t="s">
        <v>79</v>
      </c>
      <c r="C233" s="12" t="s">
        <v>72</v>
      </c>
      <c r="D233" s="13" t="s">
        <v>305</v>
      </c>
      <c r="E233" s="48">
        <f>17.6*1.2*76.24</f>
        <v>1610.1887999999999</v>
      </c>
    </row>
    <row r="234" spans="1:5" ht="24" outlineLevel="1" x14ac:dyDescent="0.2">
      <c r="A234" s="30"/>
      <c r="B234" s="14"/>
      <c r="C234" s="15" t="s">
        <v>309</v>
      </c>
      <c r="D234" s="16" t="s">
        <v>310</v>
      </c>
      <c r="E234" s="49" t="s">
        <v>5</v>
      </c>
    </row>
    <row r="235" spans="1:5" ht="25.5" x14ac:dyDescent="0.2">
      <c r="A235" s="29">
        <v>67</v>
      </c>
      <c r="B235" s="24" t="s">
        <v>80</v>
      </c>
      <c r="C235" s="12" t="s">
        <v>81</v>
      </c>
      <c r="D235" s="13" t="s">
        <v>306</v>
      </c>
      <c r="E235" s="48">
        <f>4.5*2*76.24</f>
        <v>686.16</v>
      </c>
    </row>
    <row r="236" spans="1:5" ht="24" outlineLevel="1" x14ac:dyDescent="0.2">
      <c r="A236" s="30"/>
      <c r="B236" s="14"/>
      <c r="C236" s="15" t="s">
        <v>309</v>
      </c>
      <c r="D236" s="16" t="s">
        <v>310</v>
      </c>
      <c r="E236" s="49" t="s">
        <v>5</v>
      </c>
    </row>
    <row r="237" spans="1:5" ht="15" x14ac:dyDescent="0.2">
      <c r="A237" s="17"/>
      <c r="B237" s="42" t="s">
        <v>107</v>
      </c>
      <c r="C237" s="43"/>
      <c r="D237" s="43"/>
      <c r="E237" s="51">
        <f>E235+E233+E231+E229+E227+E225+E223+E221</f>
        <v>77667.212799999994</v>
      </c>
    </row>
    <row r="238" spans="1:5" ht="48" customHeight="1" x14ac:dyDescent="0.2">
      <c r="A238" s="22"/>
      <c r="B238" s="40" t="s">
        <v>127</v>
      </c>
      <c r="C238" s="41"/>
      <c r="D238" s="41"/>
      <c r="E238" s="50">
        <f>E237+E219+E202+E188+E171</f>
        <v>1975011.7723499998</v>
      </c>
    </row>
    <row r="239" spans="1:5" ht="20.45" customHeight="1" x14ac:dyDescent="0.2">
      <c r="A239" s="36" t="s">
        <v>115</v>
      </c>
      <c r="B239" s="37"/>
      <c r="C239" s="37"/>
      <c r="D239" s="37"/>
      <c r="E239" s="37"/>
    </row>
    <row r="240" spans="1:5" ht="140.25" x14ac:dyDescent="0.2">
      <c r="A240" s="29">
        <v>68</v>
      </c>
      <c r="B240" s="24" t="s">
        <v>117</v>
      </c>
      <c r="C240" s="12" t="s">
        <v>118</v>
      </c>
      <c r="D240" s="13" t="s">
        <v>125</v>
      </c>
      <c r="E240" s="48">
        <f>540*4*30*4</f>
        <v>259200</v>
      </c>
    </row>
    <row r="241" spans="1:5" ht="24" outlineLevel="1" x14ac:dyDescent="0.2">
      <c r="A241" s="30"/>
      <c r="B241" s="14"/>
      <c r="C241" s="15" t="s">
        <v>120</v>
      </c>
      <c r="D241" s="16" t="s">
        <v>119</v>
      </c>
      <c r="E241" s="49" t="s">
        <v>5</v>
      </c>
    </row>
    <row r="242" spans="1:5" ht="60" outlineLevel="1" x14ac:dyDescent="0.2">
      <c r="A242" s="25"/>
      <c r="B242" s="14"/>
      <c r="C242" s="15" t="s">
        <v>121</v>
      </c>
      <c r="D242" s="16" t="s">
        <v>122</v>
      </c>
      <c r="E242" s="49" t="s">
        <v>5</v>
      </c>
    </row>
    <row r="243" spans="1:5" ht="49.5" customHeight="1" outlineLevel="1" x14ac:dyDescent="0.2">
      <c r="A243" s="25"/>
      <c r="B243" s="14"/>
      <c r="C243" s="15" t="s">
        <v>123</v>
      </c>
      <c r="D243" s="16" t="s">
        <v>124</v>
      </c>
      <c r="E243" s="49" t="s">
        <v>5</v>
      </c>
    </row>
    <row r="244" spans="1:5" ht="48" customHeight="1" x14ac:dyDescent="0.2">
      <c r="A244" s="22"/>
      <c r="B244" s="40" t="s">
        <v>126</v>
      </c>
      <c r="C244" s="41"/>
      <c r="D244" s="41"/>
      <c r="E244" s="50">
        <f>E240</f>
        <v>259200</v>
      </c>
    </row>
    <row r="245" spans="1:5" ht="15" x14ac:dyDescent="0.2">
      <c r="A245" s="22"/>
      <c r="B245" s="40" t="s">
        <v>86</v>
      </c>
      <c r="C245" s="41"/>
      <c r="D245" s="41"/>
      <c r="E245" s="50"/>
    </row>
    <row r="246" spans="1:5" ht="15.95" customHeight="1" x14ac:dyDescent="0.2">
      <c r="A246" s="22"/>
      <c r="B246" s="38" t="s">
        <v>111</v>
      </c>
      <c r="C246" s="30"/>
      <c r="D246" s="30"/>
      <c r="E246" s="48">
        <f>E22</f>
        <v>105935.48</v>
      </c>
    </row>
    <row r="247" spans="1:5" ht="15.4" customHeight="1" x14ac:dyDescent="0.2">
      <c r="A247" s="22"/>
      <c r="B247" s="38" t="s">
        <v>112</v>
      </c>
      <c r="C247" s="30"/>
      <c r="D247" s="30"/>
      <c r="E247" s="48">
        <f>E156</f>
        <v>1706524.8045439997</v>
      </c>
    </row>
    <row r="248" spans="1:5" ht="15" x14ac:dyDescent="0.2">
      <c r="A248" s="22"/>
      <c r="B248" s="38" t="s">
        <v>113</v>
      </c>
      <c r="C248" s="30"/>
      <c r="D248" s="30"/>
      <c r="E248" s="48">
        <f>E238</f>
        <v>1975011.7723499998</v>
      </c>
    </row>
    <row r="249" spans="1:5" ht="15" x14ac:dyDescent="0.2">
      <c r="A249" s="22"/>
      <c r="B249" s="38" t="s">
        <v>116</v>
      </c>
      <c r="C249" s="30"/>
      <c r="D249" s="30"/>
      <c r="E249" s="48">
        <f>E244</f>
        <v>259200</v>
      </c>
    </row>
    <row r="250" spans="1:5" ht="15" x14ac:dyDescent="0.2">
      <c r="A250" s="22"/>
      <c r="B250" s="38" t="s">
        <v>87</v>
      </c>
      <c r="C250" s="30"/>
      <c r="D250" s="30"/>
      <c r="E250" s="48">
        <f>E246+E247+E248+E249</f>
        <v>4046672.0568939997</v>
      </c>
    </row>
    <row r="251" spans="1:5" ht="15" x14ac:dyDescent="0.2">
      <c r="A251" s="22"/>
      <c r="B251" s="38" t="s">
        <v>88</v>
      </c>
      <c r="C251" s="30"/>
      <c r="D251" s="30"/>
      <c r="E251" s="48"/>
    </row>
    <row r="252" spans="1:5" ht="15" x14ac:dyDescent="0.2">
      <c r="A252" s="22"/>
      <c r="B252" s="40" t="s">
        <v>89</v>
      </c>
      <c r="C252" s="41"/>
      <c r="D252" s="41"/>
      <c r="E252" s="50">
        <f>E250</f>
        <v>4046672.0568939997</v>
      </c>
    </row>
    <row r="253" spans="1:5" x14ac:dyDescent="0.2">
      <c r="A253" s="18"/>
      <c r="B253" s="19"/>
      <c r="C253" s="20"/>
      <c r="D253" s="21"/>
      <c r="E253" s="52"/>
    </row>
    <row r="255" spans="1:5" ht="30" customHeight="1" x14ac:dyDescent="0.2">
      <c r="A255" s="44" t="s">
        <v>90</v>
      </c>
      <c r="B255" s="44"/>
      <c r="C255" s="44"/>
      <c r="D255" s="44"/>
      <c r="E255" s="44"/>
    </row>
  </sheetData>
  <mergeCells count="113">
    <mergeCell ref="A107:A109"/>
    <mergeCell ref="A110:A111"/>
    <mergeCell ref="A112:A114"/>
    <mergeCell ref="A145:A146"/>
    <mergeCell ref="A136:A137"/>
    <mergeCell ref="A138:A139"/>
    <mergeCell ref="A140:A141"/>
    <mergeCell ref="B127:E127"/>
    <mergeCell ref="A128:A129"/>
    <mergeCell ref="A130:A131"/>
    <mergeCell ref="A132:A133"/>
    <mergeCell ref="A134:A135"/>
    <mergeCell ref="B118:E118"/>
    <mergeCell ref="A119:A120"/>
    <mergeCell ref="A121:A122"/>
    <mergeCell ref="A123:A124"/>
    <mergeCell ref="A125:A126"/>
    <mergeCell ref="B219:D219"/>
    <mergeCell ref="B24:E24"/>
    <mergeCell ref="A217:A218"/>
    <mergeCell ref="A184:A185"/>
    <mergeCell ref="B47:E47"/>
    <mergeCell ref="A203:E203"/>
    <mergeCell ref="B206:E206"/>
    <mergeCell ref="A204:A205"/>
    <mergeCell ref="A190:A191"/>
    <mergeCell ref="A200:A201"/>
    <mergeCell ref="A192:A193"/>
    <mergeCell ref="B149:E149"/>
    <mergeCell ref="A61:A65"/>
    <mergeCell ref="B66:E66"/>
    <mergeCell ref="A67:A72"/>
    <mergeCell ref="B175:E175"/>
    <mergeCell ref="B178:E178"/>
    <mergeCell ref="A117:E117"/>
    <mergeCell ref="A173:A174"/>
    <mergeCell ref="B60:E60"/>
    <mergeCell ref="B97:E97"/>
    <mergeCell ref="B142:E142"/>
    <mergeCell ref="A143:A144"/>
    <mergeCell ref="A147:A148"/>
    <mergeCell ref="A255:E255"/>
    <mergeCell ref="A214:A216"/>
    <mergeCell ref="A207:A208"/>
    <mergeCell ref="A211:A213"/>
    <mergeCell ref="B252:D252"/>
    <mergeCell ref="B251:D251"/>
    <mergeCell ref="B238:D238"/>
    <mergeCell ref="A220:E220"/>
    <mergeCell ref="B245:D245"/>
    <mergeCell ref="B209:E209"/>
    <mergeCell ref="B210:E210"/>
    <mergeCell ref="A221:A222"/>
    <mergeCell ref="A223:A224"/>
    <mergeCell ref="A225:A226"/>
    <mergeCell ref="A227:A228"/>
    <mergeCell ref="A240:A241"/>
    <mergeCell ref="A229:A230"/>
    <mergeCell ref="B250:D250"/>
    <mergeCell ref="B246:D246"/>
    <mergeCell ref="B247:D247"/>
    <mergeCell ref="B248:D248"/>
    <mergeCell ref="B249:D249"/>
    <mergeCell ref="B244:D244"/>
    <mergeCell ref="A239:E239"/>
    <mergeCell ref="B237:D237"/>
    <mergeCell ref="A231:A232"/>
    <mergeCell ref="A233:A234"/>
    <mergeCell ref="A235:A236"/>
    <mergeCell ref="B38:E38"/>
    <mergeCell ref="A176:A177"/>
    <mergeCell ref="A157:E157"/>
    <mergeCell ref="B181:E181"/>
    <mergeCell ref="B188:D188"/>
    <mergeCell ref="B158:E158"/>
    <mergeCell ref="A159:E159"/>
    <mergeCell ref="A179:A180"/>
    <mergeCell ref="A182:A183"/>
    <mergeCell ref="A186:A187"/>
    <mergeCell ref="A172:E172"/>
    <mergeCell ref="A73:A78"/>
    <mergeCell ref="A79:A84"/>
    <mergeCell ref="A85:A90"/>
    <mergeCell ref="A91:A96"/>
    <mergeCell ref="B202:D202"/>
    <mergeCell ref="B171:D171"/>
    <mergeCell ref="B156:D156"/>
    <mergeCell ref="A196:A197"/>
    <mergeCell ref="A105:A106"/>
    <mergeCell ref="A31:A32"/>
    <mergeCell ref="A189:E189"/>
    <mergeCell ref="A198:A199"/>
    <mergeCell ref="B1:D1"/>
    <mergeCell ref="B2:D2"/>
    <mergeCell ref="A4:E4"/>
    <mergeCell ref="A33:E33"/>
    <mergeCell ref="A34:A36"/>
    <mergeCell ref="A9:A17"/>
    <mergeCell ref="A18:A19"/>
    <mergeCell ref="A7:E7"/>
    <mergeCell ref="B8:E8"/>
    <mergeCell ref="B22:D22"/>
    <mergeCell ref="A20:A21"/>
    <mergeCell ref="A23:E23"/>
    <mergeCell ref="B25:E25"/>
    <mergeCell ref="A160:A170"/>
    <mergeCell ref="A194:A195"/>
    <mergeCell ref="A115:A116"/>
    <mergeCell ref="A98:A99"/>
    <mergeCell ref="A100:A101"/>
    <mergeCell ref="A102:A103"/>
    <mergeCell ref="B104:E104"/>
    <mergeCell ref="A26:A30"/>
  </mergeCells>
  <pageMargins left="0.35433070866141736" right="0.23622047244094491" top="0.74803149606299213" bottom="0.74803149606299213" header="0.31496062992125984" footer="0.31496062992125984"/>
  <pageSetup paperSize="9" fitToHeight="0" orientation="landscape" r:id="rId1"/>
  <headerFooter differentFirst="1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2025-01-14T11:08:54Z</cp:lastPrinted>
  <dcterms:created xsi:type="dcterms:W3CDTF">2014-05-08T09:51:02Z</dcterms:created>
  <dcterms:modified xsi:type="dcterms:W3CDTF">2025-09-03T08:53:16Z</dcterms:modified>
</cp:coreProperties>
</file>